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9432" windowHeight="5352" activeTab="1"/>
  </bookViews>
  <sheets>
    <sheet name="Inputs" sheetId="1" r:id="rId1"/>
    <sheet name="Freestall" sheetId="2" r:id="rId2"/>
    <sheet name="Tiestall" sheetId="3" r:id="rId3"/>
  </sheets>
  <definedNames>
    <definedName name="_xlnm.Print_Area" localSheetId="1">'Freestall'!$A$1:$K$64</definedName>
  </definedNames>
  <calcPr fullCalcOnLoad="1"/>
</workbook>
</file>

<file path=xl/sharedStrings.xml><?xml version="1.0" encoding="utf-8"?>
<sst xmlns="http://schemas.openxmlformats.org/spreadsheetml/2006/main" count="310" uniqueCount="113">
  <si>
    <t>Large Breed Dairy Cow Including Replacements Producing</t>
  </si>
  <si>
    <t xml:space="preserve">20,000 lbs. &amp; 24,000 lbs. of Grade A Milk </t>
  </si>
  <si>
    <t>I. RECEIPTS</t>
  </si>
  <si>
    <t>$$ Value</t>
  </si>
  <si>
    <t xml:space="preserve"> $$ Value</t>
  </si>
  <si>
    <t xml:space="preserve">     1. Components:</t>
  </si>
  <si>
    <t>cwts.</t>
  </si>
  <si>
    <t xml:space="preserve">         a. Butterfat</t>
  </si>
  <si>
    <t>lbs.</t>
  </si>
  <si>
    <t>$/lb.</t>
  </si>
  <si>
    <t xml:space="preserve">         b. Protein</t>
  </si>
  <si>
    <t xml:space="preserve">         c. Other Solids</t>
  </si>
  <si>
    <t xml:space="preserve">         d. Producer Price Differential</t>
  </si>
  <si>
    <t>$/cwt.</t>
  </si>
  <si>
    <t xml:space="preserve">         e. Quality</t>
  </si>
  <si>
    <t>SCC</t>
  </si>
  <si>
    <t>$/thousand</t>
  </si>
  <si>
    <t xml:space="preserve">          f. Protein Premium</t>
  </si>
  <si>
    <t xml:space="preserve">         g. Volume</t>
  </si>
  <si>
    <t xml:space="preserve">     2. Capital Payout</t>
  </si>
  <si>
    <t xml:space="preserve">     3. Cull/cow (a)</t>
  </si>
  <si>
    <t>head</t>
  </si>
  <si>
    <t>per hd.</t>
  </si>
  <si>
    <t xml:space="preserve">     4. Dairy calf</t>
  </si>
  <si>
    <t xml:space="preserve">     5. Replacement heifer calf</t>
  </si>
  <si>
    <t xml:space="preserve">     GROSS RECEIPTS</t>
  </si>
  <si>
    <t>II. VARIABLE COSTS</t>
  </si>
  <si>
    <t xml:space="preserve">     A. FEED COSTS (b)</t>
  </si>
  <si>
    <t>Price/Unit</t>
  </si>
  <si>
    <t>Amount</t>
  </si>
  <si>
    <t xml:space="preserve">     1. Corn equivalents </t>
  </si>
  <si>
    <t>per bu.</t>
  </si>
  <si>
    <t>bu.</t>
  </si>
  <si>
    <t xml:space="preserve">     2. Corn Silage</t>
  </si>
  <si>
    <t>per ton</t>
  </si>
  <si>
    <t>tons</t>
  </si>
  <si>
    <t xml:space="preserve">     3. Hay equivalents</t>
  </si>
  <si>
    <t xml:space="preserve">     4. Salts and minerals</t>
  </si>
  <si>
    <t>per lb.</t>
  </si>
  <si>
    <t xml:space="preserve">     5. Protein supplement</t>
  </si>
  <si>
    <t xml:space="preserve">     6. Whole (linted) cottonseed</t>
  </si>
  <si>
    <t xml:space="preserve">     7. Fat</t>
  </si>
  <si>
    <t xml:space="preserve">     8. Milk replacer, calf starter</t>
  </si>
  <si>
    <t xml:space="preserve">     9. Total Feed Costs</t>
  </si>
  <si>
    <t xml:space="preserve">     B. LIVESTOCK COSTS</t>
  </si>
  <si>
    <t>$$Value</t>
  </si>
  <si>
    <t xml:space="preserve">     1. Milk marketing per cwt.</t>
  </si>
  <si>
    <t xml:space="preserve">     2. Veterinary and Health</t>
  </si>
  <si>
    <t xml:space="preserve">     3. Fuel, utilities and repairs</t>
  </si>
  <si>
    <t xml:space="preserve">     4. DHIA &amp; accounting</t>
  </si>
  <si>
    <t xml:space="preserve">     5. Breeding fees</t>
  </si>
  <si>
    <t xml:space="preserve">     6. Bedding, supplies and misc.</t>
  </si>
  <si>
    <t xml:space="preserve">     7. Total Livestock Cost</t>
  </si>
  <si>
    <t xml:space="preserve">     8. Operating Capital Interest</t>
  </si>
  <si>
    <t>months</t>
  </si>
  <si>
    <t xml:space="preserve">     9. Total Variable Costs</t>
  </si>
  <si>
    <t>III. FIXED COSTS (c)</t>
  </si>
  <si>
    <t xml:space="preserve">     1. Machinery, equipment, facilities </t>
  </si>
  <si>
    <t xml:space="preserve">     2. Interest &amp; Ins. on Herd</t>
  </si>
  <si>
    <t>annually</t>
  </si>
  <si>
    <t xml:space="preserve">     3. Death Loss </t>
  </si>
  <si>
    <t xml:space="preserve">     4. Total Fixed Cost</t>
  </si>
  <si>
    <t>IV. TOTAL COST</t>
  </si>
  <si>
    <t>per cwt. (d)</t>
  </si>
  <si>
    <t>per cow</t>
  </si>
  <si>
    <t xml:space="preserve">     (except for labor and management)</t>
  </si>
  <si>
    <t>V. RETURNS</t>
  </si>
  <si>
    <t xml:space="preserve">     1. Gross receipts</t>
  </si>
  <si>
    <t xml:space="preserve">     2. Less variable costs</t>
  </si>
  <si>
    <t xml:space="preserve">     3. Returns above variable costs</t>
  </si>
  <si>
    <t xml:space="preserve">     4. Less fixed costs</t>
  </si>
  <si>
    <t xml:space="preserve">     5. Returns to labor &amp; management</t>
  </si>
  <si>
    <t xml:space="preserve">     7. Returns to management</t>
  </si>
  <si>
    <t xml:space="preserve">VI. BREAK EVEN MILK PRICE (e) </t>
  </si>
  <si>
    <t xml:space="preserve">     1. Budget break even per cwt.</t>
  </si>
  <si>
    <r>
      <t xml:space="preserve">     </t>
    </r>
    <r>
      <rPr>
        <sz val="11"/>
        <rFont val="Arial"/>
        <family val="2"/>
      </rPr>
      <t>2. Actual milk price received this month</t>
    </r>
  </si>
  <si>
    <t>(b)  A detailed explanation of the feed rations utilized is available upon request from the authors.</t>
  </si>
  <si>
    <t>(d)  Milk equivalents are calculated by computing the adjusted gross receipts (gross receipts - death loss) then dividing by the total price per cwt. of milk.</t>
  </si>
  <si>
    <t xml:space="preserve">(e)  The break even milk price is the gross Grade A price per cwt. required in the receipts section, so the budget will cover total costs and labor. </t>
  </si>
  <si>
    <t>scc</t>
  </si>
  <si>
    <t>x $1400.00</t>
  </si>
  <si>
    <t>x $1540.00</t>
  </si>
  <si>
    <t>BF price</t>
  </si>
  <si>
    <t>Protein price</t>
  </si>
  <si>
    <t>Other solids price</t>
  </si>
  <si>
    <t>PPD</t>
  </si>
  <si>
    <t>SCC adjustment</t>
  </si>
  <si>
    <t>Feed prices</t>
  </si>
  <si>
    <t>Corn</t>
  </si>
  <si>
    <t>Soybean meal</t>
  </si>
  <si>
    <t xml:space="preserve">(c)  Facilities budgeted here represent those needed for a 250 cow herd housed in a freestall and milked in a parlor. </t>
  </si>
  <si>
    <t xml:space="preserve">Midwest Dairy Cow Annual Budget- Freestall </t>
  </si>
  <si>
    <t>Milk Components &amp; Prices</t>
  </si>
  <si>
    <t>BF%</t>
  </si>
  <si>
    <t>Protein%</t>
  </si>
  <si>
    <t>Other solids%</t>
  </si>
  <si>
    <t>Cottonseed</t>
  </si>
  <si>
    <t>Animal fat</t>
  </si>
  <si>
    <t>Hay</t>
  </si>
  <si>
    <t>Iowa and Nebraska Dairy Budgets</t>
  </si>
  <si>
    <t>Notes on budget assumptions and prices</t>
  </si>
  <si>
    <t>Cull Cow Price</t>
  </si>
  <si>
    <t xml:space="preserve">     6. Labor cost 70 hrs. @ $13/hr.</t>
  </si>
  <si>
    <t xml:space="preserve">     6. Labor cost 45 hrs. @ $13/hr.</t>
  </si>
  <si>
    <t xml:space="preserve"> Hay price obrained from NE/IA Weekly hay report, http://www.ams.usda.gov/mnreports/wh_gr310.txt, Premium quality alfalfa large squares. Grease price obtained from most recent USDA Tallow, Protein and Hide report, http://www.ams.usda.gov/mnreports/nw_ls442.txt</t>
  </si>
  <si>
    <t>(f)   Corn price obtained from Monthly Grain report Omaha/Council Bluffs http://www.ams.usda.gov/mnreports/wh_gr110.txt. Cottonseed &amp; Soybean Meal prices are obtained from the most recent Minneapolis Weekly Feedstuffs report, http://www.ams.usda.gov/mnreports/ms_gr852.txt</t>
  </si>
  <si>
    <t xml:space="preserve">and Lee Kilmer, Extension Dairy Specialist (retired), Iowa State University.                         </t>
  </si>
  <si>
    <t>(a)  Cull cow income represents sales of dairy stock, breakers average dress, a capital asset.  This income is included to calculate production in terms of milk equivalents. Price from most recent Iowa weekly slaughter report http://www.ams.usda.gov/mnreports/nw_ls785.txt</t>
  </si>
  <si>
    <t xml:space="preserve">     6. MPP-Dairy payment</t>
  </si>
  <si>
    <t>(h)  Other costs revised August 2009 by Robert Tigner, UN-L Extension</t>
  </si>
  <si>
    <t xml:space="preserve">Budget prepared by: Paul W. Brown, former Extension Farm Management Specialist, Dale Thoreson, Extension Dairy Specialist (retired),  </t>
  </si>
  <si>
    <t>Revised by: Robert Tigner, Extension Educator, Nebraska Extension, Oct 2010, May 2015, Januart 2017</t>
  </si>
  <si>
    <t>March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</si>
</sst>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_);\(&quot;$&quot;#,##0.000000\)"/>
    <numFmt numFmtId="165" formatCode="&quot;$&quot;#,##0.0000"/>
    <numFmt numFmtId="166" formatCode="&quot;$&quot;#,##0.0000_);\(&quot;$&quot;#,##0.0000\)"/>
    <numFmt numFmtId="167" formatCode="&quot;$&quot;#,##0.00"/>
    <numFmt numFmtId="168" formatCode="[$-409]dddd\,\ mmmm\ dd\,\ yyyy"/>
    <numFmt numFmtId="169" formatCode="[$-409]mmmm\ d\,\ yyyy;@"/>
    <numFmt numFmtId="170" formatCode="&quot;$&quot;#,##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/>
    </xf>
    <xf numFmtId="7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7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7" fontId="4" fillId="0" borderId="14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7" fontId="7" fillId="0" borderId="14" xfId="0" applyNumberFormat="1" applyFont="1" applyBorder="1" applyAlignment="1">
      <alignment/>
    </xf>
    <xf numFmtId="9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6"/>
  <sheetViews>
    <sheetView zoomScalePageLayoutView="0" workbookViewId="0" topLeftCell="A1">
      <selection activeCell="E29" sqref="E29"/>
    </sheetView>
  </sheetViews>
  <sheetFormatPr defaultColWidth="9.140625" defaultRowHeight="12.75"/>
  <cols>
    <col min="4" max="4" width="17.421875" style="0" customWidth="1"/>
  </cols>
  <sheetData>
    <row r="4" spans="2:5" ht="15">
      <c r="B4" s="58" t="s">
        <v>99</v>
      </c>
      <c r="C4" s="59"/>
      <c r="D4" s="59"/>
      <c r="E4" s="59"/>
    </row>
    <row r="5" spans="2:5" ht="12.75">
      <c r="B5" s="59"/>
      <c r="C5" s="59"/>
      <c r="D5" s="59"/>
      <c r="E5" s="59"/>
    </row>
    <row r="6" spans="2:5" ht="12.75">
      <c r="B6" s="59"/>
      <c r="C6" s="59"/>
      <c r="D6" s="59"/>
      <c r="E6" s="59"/>
    </row>
    <row r="7" spans="2:5" ht="12.75">
      <c r="B7" s="59"/>
      <c r="C7" s="59"/>
      <c r="D7" s="60" t="s">
        <v>112</v>
      </c>
      <c r="E7" s="61"/>
    </row>
    <row r="8" spans="2:5" ht="12.75">
      <c r="B8" s="59"/>
      <c r="C8" s="59"/>
      <c r="D8" s="61" t="s">
        <v>92</v>
      </c>
      <c r="E8" s="61"/>
    </row>
    <row r="9" spans="2:5" ht="12.75">
      <c r="B9" s="59"/>
      <c r="C9" s="59"/>
      <c r="D9" s="59" t="s">
        <v>93</v>
      </c>
      <c r="E9" s="59">
        <v>3.86</v>
      </c>
    </row>
    <row r="10" spans="2:5" ht="12.75">
      <c r="B10" s="59"/>
      <c r="C10" s="59"/>
      <c r="D10" s="59" t="s">
        <v>94</v>
      </c>
      <c r="E10" s="59">
        <v>3.17</v>
      </c>
    </row>
    <row r="11" spans="2:5" ht="12.75">
      <c r="B11" s="59"/>
      <c r="C11" s="59"/>
      <c r="D11" s="59" t="s">
        <v>95</v>
      </c>
      <c r="E11" s="59">
        <v>5.76</v>
      </c>
    </row>
    <row r="12" spans="2:5" ht="12.75">
      <c r="B12" s="59"/>
      <c r="C12" s="59"/>
      <c r="D12" s="59" t="s">
        <v>79</v>
      </c>
      <c r="E12" s="59">
        <v>206</v>
      </c>
    </row>
    <row r="13" spans="2:5" ht="12.75">
      <c r="B13" s="59"/>
      <c r="C13" s="59"/>
      <c r="D13" s="59"/>
      <c r="E13" s="59"/>
    </row>
    <row r="14" spans="2:5" ht="12.75">
      <c r="B14" s="59"/>
      <c r="C14" s="59"/>
      <c r="D14" s="59" t="s">
        <v>82</v>
      </c>
      <c r="E14" s="59">
        <v>2.4176</v>
      </c>
    </row>
    <row r="15" spans="2:5" ht="12.75">
      <c r="B15" s="59"/>
      <c r="C15" s="59"/>
      <c r="D15" s="59" t="s">
        <v>83</v>
      </c>
      <c r="E15" s="59">
        <v>1.8198</v>
      </c>
    </row>
    <row r="16" spans="2:5" ht="12.75">
      <c r="B16" s="59"/>
      <c r="C16" s="59"/>
      <c r="D16" s="59" t="s">
        <v>84</v>
      </c>
      <c r="E16" s="59">
        <v>0.3345</v>
      </c>
    </row>
    <row r="17" spans="2:5" ht="12.75">
      <c r="B17" s="59"/>
      <c r="C17" s="59"/>
      <c r="D17" s="59" t="s">
        <v>85</v>
      </c>
      <c r="E17" s="59">
        <v>0.43</v>
      </c>
    </row>
    <row r="18" spans="2:5" ht="12.75">
      <c r="B18" s="59"/>
      <c r="C18" s="59"/>
      <c r="D18" s="59" t="s">
        <v>86</v>
      </c>
      <c r="E18" s="59">
        <v>0.00078</v>
      </c>
    </row>
    <row r="19" spans="2:5" ht="12.75">
      <c r="B19" s="59"/>
      <c r="C19" s="59"/>
      <c r="D19" s="59"/>
      <c r="E19" s="59"/>
    </row>
    <row r="20" spans="2:5" ht="12.75">
      <c r="B20" s="59"/>
      <c r="C20" s="59"/>
      <c r="D20" s="61"/>
      <c r="E20" s="59"/>
    </row>
    <row r="21" spans="2:5" ht="12.75">
      <c r="B21" s="59"/>
      <c r="C21" s="59"/>
      <c r="D21" s="59"/>
      <c r="E21" s="59"/>
    </row>
    <row r="22" spans="2:5" ht="12.75">
      <c r="B22" s="59"/>
      <c r="C22" s="59"/>
      <c r="D22" s="59"/>
      <c r="E22" s="59"/>
    </row>
    <row r="23" spans="2:5" ht="12.75">
      <c r="B23" s="59"/>
      <c r="C23" s="59"/>
      <c r="D23" s="61" t="s">
        <v>87</v>
      </c>
      <c r="E23" s="59"/>
    </row>
    <row r="24" spans="2:5" ht="12.75">
      <c r="B24" s="59"/>
      <c r="C24" s="59"/>
      <c r="D24" s="59"/>
      <c r="E24" s="59"/>
    </row>
    <row r="25" spans="2:5" ht="12.75">
      <c r="B25" s="59"/>
      <c r="C25" s="59"/>
      <c r="D25" s="59" t="s">
        <v>88</v>
      </c>
      <c r="E25" s="63">
        <v>3.25</v>
      </c>
    </row>
    <row r="26" spans="2:5" ht="12.75">
      <c r="B26" s="59"/>
      <c r="C26" s="59"/>
      <c r="D26" s="59" t="s">
        <v>89</v>
      </c>
      <c r="E26" s="63">
        <v>276.7</v>
      </c>
    </row>
    <row r="27" spans="2:5" ht="12.75">
      <c r="B27" s="59"/>
      <c r="C27" s="59"/>
      <c r="D27" s="59" t="s">
        <v>96</v>
      </c>
      <c r="E27" s="63">
        <v>200</v>
      </c>
    </row>
    <row r="28" spans="2:5" ht="12.75">
      <c r="B28" s="59"/>
      <c r="C28" s="59"/>
      <c r="D28" s="59" t="s">
        <v>97</v>
      </c>
      <c r="E28" s="63">
        <v>0.242</v>
      </c>
    </row>
    <row r="29" spans="2:5" ht="12.75">
      <c r="B29" s="59"/>
      <c r="C29" s="59"/>
      <c r="D29" s="59" t="s">
        <v>98</v>
      </c>
      <c r="E29" s="63">
        <v>155</v>
      </c>
    </row>
    <row r="31" spans="4:5" ht="12.75">
      <c r="D31" s="61" t="s">
        <v>101</v>
      </c>
      <c r="E31" s="63">
        <v>62.5</v>
      </c>
    </row>
    <row r="34" ht="15">
      <c r="B34" s="62" t="s">
        <v>100</v>
      </c>
    </row>
    <row r="35" spans="2:12" ht="13.5">
      <c r="B35" s="26" t="s">
        <v>107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3.5">
      <c r="B36" s="26" t="s">
        <v>76</v>
      </c>
      <c r="C36" s="26"/>
      <c r="D36" s="26"/>
      <c r="F36" s="26"/>
      <c r="G36" s="26"/>
      <c r="H36" s="26"/>
      <c r="I36" s="26"/>
      <c r="J36" s="26"/>
      <c r="K36" s="26"/>
      <c r="L36" s="26"/>
    </row>
    <row r="37" spans="2:12" ht="13.5">
      <c r="B37" s="26" t="s">
        <v>90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3.5">
      <c r="B38" s="26" t="s">
        <v>77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3.5">
      <c r="B39" s="26" t="s">
        <v>78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3.5">
      <c r="B40" s="26" t="s">
        <v>105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3.5">
      <c r="B41" s="26" t="s">
        <v>104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3.5">
      <c r="B43" s="26" t="s">
        <v>109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ht="13.5">
      <c r="B44" s="26" t="s">
        <v>110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 ht="13.5">
      <c r="B45" s="26" t="s">
        <v>106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13.5">
      <c r="B46" s="26" t="s">
        <v>111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showGridLines="0" tabSelected="1" zoomScalePageLayoutView="0" workbookViewId="0" topLeftCell="A1">
      <selection activeCell="T8" sqref="T8"/>
    </sheetView>
  </sheetViews>
  <sheetFormatPr defaultColWidth="9.140625" defaultRowHeight="12.75"/>
  <cols>
    <col min="1" max="1" width="33.28125" style="0" customWidth="1"/>
    <col min="2" max="2" width="9.7109375" style="0" customWidth="1"/>
    <col min="3" max="3" width="8.7109375" style="0" customWidth="1"/>
    <col min="4" max="4" width="11.57421875" style="0" customWidth="1"/>
    <col min="5" max="5" width="11.8515625" style="0" customWidth="1"/>
    <col min="6" max="6" width="12.7109375" style="0" customWidth="1"/>
    <col min="7" max="7" width="9.421875" style="0" customWidth="1"/>
    <col min="8" max="8" width="8.57421875" style="0" customWidth="1"/>
    <col min="9" max="9" width="12.421875" style="0" customWidth="1"/>
    <col min="10" max="10" width="13.00390625" style="0" customWidth="1"/>
    <col min="11" max="11" width="13.8515625" style="0" customWidth="1"/>
    <col min="13" max="13" width="14.421875" style="0" customWidth="1"/>
  </cols>
  <sheetData>
    <row r="1" spans="1:11" ht="15">
      <c r="A1" s="4"/>
      <c r="B1" s="5"/>
      <c r="C1" s="6"/>
      <c r="D1" s="2"/>
      <c r="E1" s="33" t="s">
        <v>91</v>
      </c>
      <c r="F1" s="2"/>
      <c r="G1" s="5"/>
      <c r="H1" s="56" t="str">
        <f>Inputs!D7</f>
        <v>March 2017</v>
      </c>
      <c r="I1" s="5"/>
      <c r="J1" s="5"/>
      <c r="K1" s="7"/>
    </row>
    <row r="2" spans="1:11" ht="1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3.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3.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3.5">
      <c r="A6" s="15" t="s">
        <v>7</v>
      </c>
      <c r="B6" s="42">
        <f>Inputs!E9*B5</f>
        <v>772</v>
      </c>
      <c r="C6" s="16" t="s">
        <v>8</v>
      </c>
      <c r="D6" s="43">
        <f>Inputs!E14</f>
        <v>2.4176</v>
      </c>
      <c r="E6" s="16" t="s">
        <v>9</v>
      </c>
      <c r="F6" s="18">
        <f>B6*D6</f>
        <v>1866.3872000000001</v>
      </c>
      <c r="G6" s="42">
        <f>Inputs!E9*G5</f>
        <v>926.4</v>
      </c>
      <c r="H6" s="16" t="s">
        <v>8</v>
      </c>
      <c r="I6" s="38">
        <f>D6</f>
        <v>2.4176</v>
      </c>
      <c r="J6" s="16" t="s">
        <v>9</v>
      </c>
      <c r="K6" s="18">
        <f>G6*I6</f>
        <v>2239.66464</v>
      </c>
    </row>
    <row r="7" spans="1:11" ht="13.5">
      <c r="A7" s="15" t="s">
        <v>10</v>
      </c>
      <c r="B7" s="42">
        <f>Inputs!E10*B5</f>
        <v>634</v>
      </c>
      <c r="C7" s="16" t="s">
        <v>8</v>
      </c>
      <c r="D7" s="43">
        <f>Inputs!E15</f>
        <v>1.8198</v>
      </c>
      <c r="E7" s="16" t="s">
        <v>9</v>
      </c>
      <c r="F7" s="18">
        <f>B7*D7</f>
        <v>1153.7532</v>
      </c>
      <c r="G7" s="42">
        <f>Inputs!E10*G5</f>
        <v>760.8</v>
      </c>
      <c r="H7" s="16" t="s">
        <v>8</v>
      </c>
      <c r="I7" s="38">
        <f>D7</f>
        <v>1.8198</v>
      </c>
      <c r="J7" s="16" t="s">
        <v>9</v>
      </c>
      <c r="K7" s="18">
        <f>G7*I7</f>
        <v>1384.50384</v>
      </c>
    </row>
    <row r="8" spans="1:11" ht="13.5">
      <c r="A8" s="15" t="s">
        <v>11</v>
      </c>
      <c r="B8" s="42">
        <f>Inputs!E11*B5</f>
        <v>1152</v>
      </c>
      <c r="C8" s="16" t="s">
        <v>8</v>
      </c>
      <c r="D8" s="43">
        <f>Inputs!E16</f>
        <v>0.3345</v>
      </c>
      <c r="E8" s="16" t="s">
        <v>9</v>
      </c>
      <c r="F8" s="18">
        <f>B8*D8</f>
        <v>385.34400000000005</v>
      </c>
      <c r="G8" s="42">
        <f>Inputs!E11*G5</f>
        <v>1382.3999999999999</v>
      </c>
      <c r="H8" s="16" t="s">
        <v>8</v>
      </c>
      <c r="I8" s="38">
        <f>D8</f>
        <v>0.3345</v>
      </c>
      <c r="J8" s="16" t="s">
        <v>9</v>
      </c>
      <c r="K8" s="18">
        <f>G8*I8</f>
        <v>462.4128</v>
      </c>
    </row>
    <row r="9" spans="1:11" ht="13.5">
      <c r="A9" s="15" t="s">
        <v>12</v>
      </c>
      <c r="D9" s="43">
        <f>Inputs!E17</f>
        <v>0.43</v>
      </c>
      <c r="E9" s="16" t="s">
        <v>13</v>
      </c>
      <c r="F9" s="18">
        <f>B5*D9</f>
        <v>86</v>
      </c>
      <c r="I9" s="38">
        <f>D9</f>
        <v>0.43</v>
      </c>
      <c r="J9" s="16" t="s">
        <v>13</v>
      </c>
      <c r="K9" s="18">
        <f>G5*I9</f>
        <v>103.2</v>
      </c>
    </row>
    <row r="10" spans="1:11" ht="13.5">
      <c r="A10" s="15" t="s">
        <v>14</v>
      </c>
      <c r="B10" s="19">
        <f>Inputs!E12*1000</f>
        <v>206000</v>
      </c>
      <c r="C10" s="16" t="s">
        <v>15</v>
      </c>
      <c r="D10" s="43">
        <f>Inputs!E18</f>
        <v>0.00078</v>
      </c>
      <c r="E10" s="16" t="s">
        <v>16</v>
      </c>
      <c r="F10" s="39">
        <f>(B10/1000)*D10</f>
        <v>0.16068</v>
      </c>
      <c r="G10" s="19">
        <f>Inputs!E12*1000</f>
        <v>206000</v>
      </c>
      <c r="H10" s="16" t="s">
        <v>15</v>
      </c>
      <c r="I10" s="38">
        <f>D10</f>
        <v>0.00078</v>
      </c>
      <c r="J10" s="16" t="s">
        <v>16</v>
      </c>
      <c r="K10" s="39">
        <f>(G10/1000)*I10</f>
        <v>0.16068</v>
      </c>
    </row>
    <row r="11" spans="1:11" ht="13.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aca="true" t="shared" si="0" ref="I11:I17">D11</f>
        <v>0</v>
      </c>
      <c r="J11" s="16" t="s">
        <v>9</v>
      </c>
      <c r="K11" s="18">
        <f>G7*I11</f>
        <v>0</v>
      </c>
    </row>
    <row r="12" spans="1:11" ht="13.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3.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3.5">
      <c r="A14" s="15" t="s">
        <v>20</v>
      </c>
      <c r="B14" s="8">
        <v>0.36</v>
      </c>
      <c r="C14" s="16" t="s">
        <v>21</v>
      </c>
      <c r="D14" s="44">
        <f>Inputs!E31*12</f>
        <v>750</v>
      </c>
      <c r="E14" s="16" t="s">
        <v>22</v>
      </c>
      <c r="F14" s="18">
        <f>B14*D14</f>
        <v>270</v>
      </c>
      <c r="G14" s="8">
        <v>0.39</v>
      </c>
      <c r="H14" s="16" t="s">
        <v>21</v>
      </c>
      <c r="I14" s="17">
        <f t="shared" si="0"/>
        <v>750</v>
      </c>
      <c r="J14" s="16" t="s">
        <v>22</v>
      </c>
      <c r="K14" s="18">
        <f>G14*I14</f>
        <v>292.5</v>
      </c>
    </row>
    <row r="15" spans="1:11" ht="13.5">
      <c r="A15" s="15" t="s">
        <v>23</v>
      </c>
      <c r="B15" s="8">
        <v>0.51</v>
      </c>
      <c r="C15" s="16" t="s">
        <v>21</v>
      </c>
      <c r="D15" s="44">
        <v>190</v>
      </c>
      <c r="E15" s="16" t="s">
        <v>22</v>
      </c>
      <c r="F15" s="18">
        <f>B15*D15</f>
        <v>96.9</v>
      </c>
      <c r="G15" s="8">
        <v>0.52</v>
      </c>
      <c r="H15" s="16" t="s">
        <v>21</v>
      </c>
      <c r="I15" s="17">
        <f t="shared" si="0"/>
        <v>190</v>
      </c>
      <c r="J15" s="16" t="s">
        <v>22</v>
      </c>
      <c r="K15" s="18">
        <f>G15*I15</f>
        <v>98.8</v>
      </c>
    </row>
    <row r="16" spans="1:11" ht="13.5">
      <c r="A16" s="15" t="s">
        <v>24</v>
      </c>
      <c r="B16" s="8">
        <v>0.18</v>
      </c>
      <c r="C16" s="16" t="s">
        <v>21</v>
      </c>
      <c r="D16" s="44">
        <v>220</v>
      </c>
      <c r="E16" s="16" t="s">
        <v>22</v>
      </c>
      <c r="F16" s="18">
        <f>B16*D16</f>
        <v>39.6</v>
      </c>
      <c r="G16" s="16">
        <v>0.21</v>
      </c>
      <c r="H16" s="16" t="s">
        <v>21</v>
      </c>
      <c r="I16" s="17">
        <f t="shared" si="0"/>
        <v>220</v>
      </c>
      <c r="J16" s="16" t="s">
        <v>22</v>
      </c>
      <c r="K16" s="18">
        <f>G16*I16</f>
        <v>46.199999999999996</v>
      </c>
    </row>
    <row r="17" spans="1:11" ht="13.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3.5">
      <c r="A18" s="27" t="s">
        <v>25</v>
      </c>
      <c r="B18" s="28"/>
      <c r="C18" s="29"/>
      <c r="D18" s="29"/>
      <c r="E18" s="29"/>
      <c r="F18" s="30">
        <f>SUM(F6:F17)</f>
        <v>3935.1450800000002</v>
      </c>
      <c r="G18" s="28"/>
      <c r="H18" s="29"/>
      <c r="I18" s="29"/>
      <c r="J18" s="29"/>
      <c r="K18" s="30">
        <f>SUM(K6:K17)</f>
        <v>4671.84196</v>
      </c>
    </row>
    <row r="19" spans="1:11" ht="13.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3.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3.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3.5">
      <c r="A22" s="15" t="s">
        <v>30</v>
      </c>
      <c r="B22" s="46">
        <f>Inputs!E25</f>
        <v>3.25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339.235</v>
      </c>
      <c r="G22" s="8"/>
      <c r="H22" s="45">
        <v>112.91</v>
      </c>
      <c r="I22" s="16" t="s">
        <v>32</v>
      </c>
      <c r="J22" s="16"/>
      <c r="K22" s="18">
        <f>B22*H22</f>
        <v>366.9575</v>
      </c>
    </row>
    <row r="23" spans="1:11" ht="13.5">
      <c r="A23" s="15" t="s">
        <v>33</v>
      </c>
      <c r="B23" s="46">
        <f>Inputs!E25*10</f>
        <v>32.5</v>
      </c>
      <c r="C23" s="16" t="s">
        <v>34</v>
      </c>
      <c r="D23" s="45">
        <v>8.04</v>
      </c>
      <c r="E23" s="16" t="s">
        <v>35</v>
      </c>
      <c r="F23" s="18">
        <f t="shared" si="1"/>
        <v>261.29999999999995</v>
      </c>
      <c r="G23" s="8"/>
      <c r="H23" s="45">
        <v>7.99</v>
      </c>
      <c r="I23" s="16" t="s">
        <v>35</v>
      </c>
      <c r="J23" s="16"/>
      <c r="K23" s="18">
        <f>B23*H23</f>
        <v>259.675</v>
      </c>
    </row>
    <row r="24" spans="1:11" ht="13.5">
      <c r="A24" s="15" t="s">
        <v>36</v>
      </c>
      <c r="B24" s="46">
        <f>Inputs!E29</f>
        <v>155</v>
      </c>
      <c r="C24" s="16" t="s">
        <v>34</v>
      </c>
      <c r="D24" s="45">
        <v>6.09</v>
      </c>
      <c r="E24" s="16" t="s">
        <v>35</v>
      </c>
      <c r="F24" s="18">
        <f t="shared" si="1"/>
        <v>943.9499999999999</v>
      </c>
      <c r="G24" s="8"/>
      <c r="H24" s="45">
        <v>6.03</v>
      </c>
      <c r="I24" s="16" t="s">
        <v>35</v>
      </c>
      <c r="J24" s="16"/>
      <c r="K24" s="18">
        <f>H24*B24</f>
        <v>934.6500000000001</v>
      </c>
    </row>
    <row r="25" spans="1:11" ht="13.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3.5">
      <c r="A26" s="15" t="s">
        <v>39</v>
      </c>
      <c r="B26" s="46">
        <f>Inputs!E26/2000</f>
        <v>0.13835</v>
      </c>
      <c r="C26" s="16" t="s">
        <v>38</v>
      </c>
      <c r="D26" s="45">
        <v>1284.83</v>
      </c>
      <c r="E26" s="16" t="s">
        <v>8</v>
      </c>
      <c r="F26" s="18">
        <f t="shared" si="1"/>
        <v>177.7562305</v>
      </c>
      <c r="G26" s="8"/>
      <c r="H26" s="45">
        <v>1855.08</v>
      </c>
      <c r="I26" s="16" t="s">
        <v>8</v>
      </c>
      <c r="J26" s="16"/>
      <c r="K26" s="18">
        <f>B26*H26</f>
        <v>256.65031799999997</v>
      </c>
    </row>
    <row r="27" spans="1:11" ht="13.5">
      <c r="A27" s="15" t="s">
        <v>40</v>
      </c>
      <c r="B27" s="46">
        <f>Inputs!E27/2000</f>
        <v>0.1</v>
      </c>
      <c r="C27" s="16" t="s">
        <v>38</v>
      </c>
      <c r="D27" s="45">
        <v>724.5</v>
      </c>
      <c r="E27" s="16" t="s">
        <v>8</v>
      </c>
      <c r="F27" s="18">
        <f t="shared" si="1"/>
        <v>72.45</v>
      </c>
      <c r="G27" s="8"/>
      <c r="H27" s="45">
        <v>1361.25</v>
      </c>
      <c r="I27" s="16" t="s">
        <v>8</v>
      </c>
      <c r="J27" s="16"/>
      <c r="K27" s="18">
        <f>B27*H27</f>
        <v>136.125</v>
      </c>
    </row>
    <row r="28" spans="1:11" ht="13.5">
      <c r="A28" s="15" t="s">
        <v>41</v>
      </c>
      <c r="B28" s="46">
        <f>Inputs!E28</f>
        <v>0.242</v>
      </c>
      <c r="C28" s="16" t="s">
        <v>38</v>
      </c>
      <c r="D28" s="45">
        <v>26</v>
      </c>
      <c r="E28" s="16" t="s">
        <v>8</v>
      </c>
      <c r="F28" s="18">
        <f t="shared" si="1"/>
        <v>6.292</v>
      </c>
      <c r="G28" s="8"/>
      <c r="H28" s="45">
        <v>111</v>
      </c>
      <c r="I28" s="16" t="s">
        <v>8</v>
      </c>
      <c r="J28" s="16"/>
      <c r="K28" s="18">
        <f>B28*H28</f>
        <v>26.862</v>
      </c>
    </row>
    <row r="29" spans="1:11" ht="13.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3.5">
      <c r="A30" s="27" t="s">
        <v>43</v>
      </c>
      <c r="B30" s="28"/>
      <c r="C30" s="29"/>
      <c r="D30" s="29"/>
      <c r="E30" s="29"/>
      <c r="F30" s="30">
        <f>SUM(F22:F29)</f>
        <v>1899.8590304999998</v>
      </c>
      <c r="G30" s="28"/>
      <c r="H30" s="29"/>
      <c r="I30" s="29"/>
      <c r="J30" s="29"/>
      <c r="K30" s="30">
        <f>SUM(K22:K29)</f>
        <v>2070.172018</v>
      </c>
    </row>
    <row r="31" spans="1:11" ht="13.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3.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3.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3.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3.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3.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3.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3.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3.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3.5">
      <c r="A40" s="15" t="s">
        <v>53</v>
      </c>
      <c r="B40" s="47">
        <v>0.07</v>
      </c>
      <c r="C40" s="16"/>
      <c r="D40" s="16">
        <v>3</v>
      </c>
      <c r="E40" s="16" t="s">
        <v>54</v>
      </c>
      <c r="F40" s="20">
        <f>(F30+F39)*B40*0.25</f>
        <v>43.25753303375</v>
      </c>
      <c r="G40" s="8"/>
      <c r="H40" s="16">
        <v>3</v>
      </c>
      <c r="I40" s="16" t="s">
        <v>54</v>
      </c>
      <c r="J40" s="16"/>
      <c r="K40" s="20">
        <f>(K30+K39)*B40*0.25</f>
        <v>46.955510315000005</v>
      </c>
    </row>
    <row r="41" spans="1:11" ht="13.5">
      <c r="A41" s="27" t="s">
        <v>55</v>
      </c>
      <c r="B41" s="28"/>
      <c r="C41" s="29"/>
      <c r="D41" s="29"/>
      <c r="E41" s="29"/>
      <c r="F41" s="30">
        <f>F30+F39+F40</f>
        <v>2515.1165635337497</v>
      </c>
      <c r="G41" s="28"/>
      <c r="H41" s="29"/>
      <c r="I41" s="29"/>
      <c r="J41" s="29"/>
      <c r="K41" s="30">
        <f>K30+K39+K40</f>
        <v>2730.1275283150003</v>
      </c>
    </row>
    <row r="42" spans="1:11" ht="13.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3.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3.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3.5">
      <c r="A45" s="15" t="s">
        <v>58</v>
      </c>
      <c r="B45" s="48">
        <v>0.06</v>
      </c>
      <c r="C45" s="16" t="s">
        <v>59</v>
      </c>
      <c r="D45" s="16"/>
      <c r="E45" s="16"/>
      <c r="F45" s="18">
        <f>B45*C46</f>
        <v>99.89999999999999</v>
      </c>
      <c r="G45" s="8"/>
      <c r="H45" s="16"/>
      <c r="I45" s="16"/>
      <c r="J45" s="16"/>
      <c r="K45" s="18">
        <f>B45*I46</f>
        <v>92.39999999999999</v>
      </c>
    </row>
    <row r="46" spans="1:11" ht="13.5">
      <c r="A46" s="15" t="s">
        <v>60</v>
      </c>
      <c r="B46" s="47">
        <v>0.05</v>
      </c>
      <c r="C46" s="24">
        <v>1665</v>
      </c>
      <c r="D46" s="16"/>
      <c r="E46" s="16"/>
      <c r="F46" s="53">
        <f>C46*B46</f>
        <v>83.25</v>
      </c>
      <c r="G46" s="8"/>
      <c r="H46" s="54">
        <v>0.05</v>
      </c>
      <c r="I46" s="16">
        <v>1540</v>
      </c>
      <c r="J46" s="16"/>
      <c r="K46" s="53">
        <f>H46*I46</f>
        <v>77</v>
      </c>
    </row>
    <row r="47" spans="1:11" ht="13.5">
      <c r="A47" s="27" t="s">
        <v>61</v>
      </c>
      <c r="B47" s="28"/>
      <c r="C47" s="29"/>
      <c r="D47" s="29"/>
      <c r="E47" s="29"/>
      <c r="F47" s="30">
        <f>SUM(F44:F46)</f>
        <v>493.15</v>
      </c>
      <c r="G47" s="28"/>
      <c r="H47" s="29"/>
      <c r="I47" s="29"/>
      <c r="J47" s="29"/>
      <c r="K47" s="30">
        <f>SUM(K44:K46)</f>
        <v>509.4</v>
      </c>
    </row>
    <row r="48" spans="1:11" ht="13.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3.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3.5">
      <c r="A50" s="27" t="s">
        <v>65</v>
      </c>
      <c r="B50" s="28"/>
      <c r="C50" s="31">
        <f>F50/((F18-F46)/((F6+F7+F8+F9+F10+F11+F12+F13)/200))</f>
        <v>13.779068209643283</v>
      </c>
      <c r="D50" s="29"/>
      <c r="E50" s="29"/>
      <c r="F50" s="30">
        <f>F41+F47</f>
        <v>3008.26656353375</v>
      </c>
      <c r="G50" s="28"/>
      <c r="H50" s="31">
        <f>K50/((K18-K46)/((K6+K7+K8+K9+K10+K11+K12+K13)/240))</f>
        <v>12.43900902281096</v>
      </c>
      <c r="I50" s="29"/>
      <c r="J50" s="29"/>
      <c r="K50" s="30">
        <f>K41+K47</f>
        <v>3239.5275283150004</v>
      </c>
    </row>
    <row r="51" spans="1:11" ht="13.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3.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3.5">
      <c r="A53" s="15" t="s">
        <v>67</v>
      </c>
      <c r="B53" s="8"/>
      <c r="C53" s="17">
        <f>F53/((F18-F46)/((F6+F7+F8+F9+F10+F11+F12+F13+F17)/200))</f>
        <v>18.024543811858198</v>
      </c>
      <c r="D53" s="16"/>
      <c r="E53" s="16"/>
      <c r="F53" s="18">
        <f>F18</f>
        <v>3935.1450800000002</v>
      </c>
      <c r="G53" s="8"/>
      <c r="H53" s="17">
        <f>K53/((K18-K46)/((K6+K7+K8+K9+K10+K11+K12+K13+K17)/240))</f>
        <v>17.938753039031475</v>
      </c>
      <c r="I53" s="16"/>
      <c r="J53" s="16"/>
      <c r="K53" s="18">
        <f>K18</f>
        <v>4671.84196</v>
      </c>
    </row>
    <row r="54" spans="1:11" ht="13.5">
      <c r="A54" s="15" t="s">
        <v>68</v>
      </c>
      <c r="B54" s="8"/>
      <c r="C54" s="17">
        <f>F54/((F18-F46)/((F6+F7+F8+F9+F10+F11+F12+F13)/200))</f>
        <v>11.520243287026231</v>
      </c>
      <c r="D54" s="16"/>
      <c r="E54" s="16"/>
      <c r="F54" s="18">
        <f>F41</f>
        <v>2515.1165635337497</v>
      </c>
      <c r="G54" s="8"/>
      <c r="H54" s="17">
        <f>K54/((K18-K46)/((K6+K7+K8+K9+K10+K11+K12+K13)/240))</f>
        <v>10.483035152906629</v>
      </c>
      <c r="I54" s="16"/>
      <c r="J54" s="16"/>
      <c r="K54" s="18">
        <f>K41</f>
        <v>2730.1275283150003</v>
      </c>
    </row>
    <row r="55" spans="1:11" ht="13.5">
      <c r="A55" s="15" t="s">
        <v>69</v>
      </c>
      <c r="B55" s="8"/>
      <c r="C55" s="17">
        <f>F55/((F18-F46)/((F6+F7+F8+F9+F10+F11+F12+F13)/200))</f>
        <v>6.504300524831967</v>
      </c>
      <c r="D55" s="16"/>
      <c r="E55" s="16"/>
      <c r="F55" s="18">
        <f>F18-F41</f>
        <v>1420.0285164662505</v>
      </c>
      <c r="G55" s="8"/>
      <c r="H55" s="17">
        <f>K55/((K18-K46)/((K6+K7+K8+K9+K10+K11+K12+K13)/240))</f>
        <v>7.455717886124847</v>
      </c>
      <c r="I55" s="16"/>
      <c r="J55" s="16"/>
      <c r="K55" s="18">
        <f>K18-K41</f>
        <v>1941.7144316849995</v>
      </c>
    </row>
    <row r="56" spans="1:11" ht="13.5">
      <c r="A56" s="15" t="s">
        <v>70</v>
      </c>
      <c r="B56" s="8"/>
      <c r="C56" s="17">
        <f>F56/((F18-F46)/((F6+F7+F8+F9+F10+F11+F12+F13)/200))</f>
        <v>2.258824922617051</v>
      </c>
      <c r="D56" s="16"/>
      <c r="E56" s="16"/>
      <c r="F56" s="18">
        <f>F47</f>
        <v>493.15</v>
      </c>
      <c r="G56" s="8"/>
      <c r="H56" s="17">
        <f>K56/((K18-K46)/((K6+K7+K8+K9+K10+K11+K12+K13)/240))</f>
        <v>1.955973869904331</v>
      </c>
      <c r="I56" s="16"/>
      <c r="J56" s="16"/>
      <c r="K56" s="18">
        <f>K47</f>
        <v>509.4</v>
      </c>
    </row>
    <row r="57" spans="1:11" ht="13.5">
      <c r="A57" s="15" t="s">
        <v>71</v>
      </c>
      <c r="B57" s="8"/>
      <c r="C57" s="17">
        <f>F57/((F18-F46)/((F6+F7+F8+F9+F10+F11+F12+F13)/200))</f>
        <v>4.245475602214915</v>
      </c>
      <c r="D57" s="16"/>
      <c r="E57" s="16"/>
      <c r="F57" s="18">
        <f>F55-F56</f>
        <v>926.8785164662505</v>
      </c>
      <c r="G57" s="8"/>
      <c r="H57" s="17">
        <f>K57/((K18-K46)/((K6+K7+K8+K9+K10+K11+K12+K13)/240))</f>
        <v>5.499744016220515</v>
      </c>
      <c r="I57" s="16"/>
      <c r="J57" s="16"/>
      <c r="K57" s="18">
        <f>K55-K56</f>
        <v>1432.3144316849994</v>
      </c>
    </row>
    <row r="58" spans="1:11" ht="13.5">
      <c r="A58" s="15" t="s">
        <v>103</v>
      </c>
      <c r="B58" s="8"/>
      <c r="C58" s="17">
        <f>F58/((F18-F46)/((F6+F7+F8+F9+F10+F11+F12+F13)/200))</f>
        <v>2.679534786030569</v>
      </c>
      <c r="D58" s="16"/>
      <c r="E58" s="16"/>
      <c r="F58" s="18">
        <f>45*13</f>
        <v>585</v>
      </c>
      <c r="G58" s="8"/>
      <c r="H58" s="17">
        <f>K58/((K18-K46)/((K6+K7+K8+K9+K10+K11+K12+K13)/240))</f>
        <v>2.2462597445897794</v>
      </c>
      <c r="I58" s="16"/>
      <c r="J58" s="16"/>
      <c r="K58" s="18">
        <f>45*13</f>
        <v>585</v>
      </c>
    </row>
    <row r="59" spans="1:11" ht="13.5">
      <c r="A59" s="27" t="s">
        <v>72</v>
      </c>
      <c r="B59" s="28"/>
      <c r="C59" s="31">
        <f>F59/((F18-F46)/((F6+F7+F8+F9+F10+F11+F12+F13)/200))</f>
        <v>1.5659408161843467</v>
      </c>
      <c r="D59" s="29"/>
      <c r="E59" s="29"/>
      <c r="F59" s="30">
        <f>F57-F58</f>
        <v>341.8785164662505</v>
      </c>
      <c r="G59" s="28"/>
      <c r="H59" s="31">
        <f>K59/((K18-K46)/((K6+K7+K8+K9+K10+K11+K12+K13)/240))</f>
        <v>3.2534842716307364</v>
      </c>
      <c r="I59" s="29"/>
      <c r="J59" s="29"/>
      <c r="K59" s="30">
        <f>K57-K58</f>
        <v>847.3144316849994</v>
      </c>
    </row>
    <row r="60" spans="1:11" ht="13.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3.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3.5">
      <c r="A62" s="27" t="s">
        <v>74</v>
      </c>
      <c r="B62" s="28"/>
      <c r="C62" s="29"/>
      <c r="D62" s="29"/>
      <c r="E62" s="29"/>
      <c r="F62" s="51">
        <f>((F50+F58)-(F14+F15+F16))/B5</f>
        <v>15.93383281766875</v>
      </c>
      <c r="G62" s="28"/>
      <c r="H62" s="29"/>
      <c r="I62" s="29"/>
      <c r="J62" s="29"/>
      <c r="K62" s="51">
        <f>((K50+K58)-(K14+K15+K16))/G5</f>
        <v>14.112614701312502</v>
      </c>
    </row>
    <row r="63" spans="1:11" ht="13.5">
      <c r="A63" s="27" t="s">
        <v>75</v>
      </c>
      <c r="B63" s="28"/>
      <c r="C63" s="29"/>
      <c r="D63" s="29"/>
      <c r="E63" s="29"/>
      <c r="F63" s="52">
        <f>(SUM(F6:F12))/B5</f>
        <v>17.643225400000002</v>
      </c>
      <c r="G63" s="28"/>
      <c r="H63" s="29"/>
      <c r="I63" s="29"/>
      <c r="J63" s="29"/>
      <c r="K63" s="52">
        <f>(SUM(K6:K12))/G5</f>
        <v>17.6430915</v>
      </c>
    </row>
    <row r="64" spans="1:11" ht="13.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76" spans="1:11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3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3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3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3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3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3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3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3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3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3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3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3.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3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3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3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3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3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3.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3.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3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3.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3.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3.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3.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3.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3.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3.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3.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3.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3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3.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3.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3.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3.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3.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3.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3.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3.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3.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3.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3.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3.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3.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3.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3.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3.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3.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3.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3.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3.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3.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3.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3.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3.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3.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</sheetData>
  <sheetProtection/>
  <printOptions/>
  <pageMargins left="0.5" right="0.5" top="0.5" bottom="0.5" header="0.5" footer="0.5"/>
  <pageSetup fitToHeight="1" fitToWidth="1" horizontalDpi="300" verticalDpi="3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PageLayoutView="0" workbookViewId="0" topLeftCell="A39">
      <selection activeCell="A2" sqref="A2"/>
    </sheetView>
  </sheetViews>
  <sheetFormatPr defaultColWidth="9.140625" defaultRowHeight="12.75"/>
  <cols>
    <col min="1" max="1" width="39.140625" style="0" customWidth="1"/>
    <col min="2" max="2" width="9.421875" style="0" bestFit="1" customWidth="1"/>
    <col min="4" max="4" width="10.8515625" style="0" bestFit="1" customWidth="1"/>
    <col min="5" max="5" width="12.28125" style="0" customWidth="1"/>
    <col min="6" max="6" width="12.57421875" style="0" customWidth="1"/>
    <col min="7" max="8" width="9.28125" style="0" bestFit="1" customWidth="1"/>
    <col min="9" max="9" width="11.57421875" style="0" customWidth="1"/>
    <col min="10" max="10" width="11.421875" style="0" customWidth="1"/>
    <col min="11" max="11" width="13.28125" style="0" customWidth="1"/>
  </cols>
  <sheetData>
    <row r="1" spans="1:11" ht="15">
      <c r="A1" s="4"/>
      <c r="B1" s="5"/>
      <c r="C1" s="6"/>
      <c r="D1" s="2"/>
      <c r="E1" s="33" t="str">
        <f>Freestall!E1</f>
        <v>Midwest Dairy Cow Annual Budget- Freestall </v>
      </c>
      <c r="F1" s="2"/>
      <c r="G1" s="5"/>
      <c r="H1" s="57" t="str">
        <f>Inputs!D7</f>
        <v>March 2017</v>
      </c>
      <c r="I1" s="5"/>
      <c r="J1" s="5"/>
      <c r="K1" s="7"/>
    </row>
    <row r="2" spans="1:11" ht="1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3.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3.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3.5">
      <c r="A6" s="15" t="s">
        <v>7</v>
      </c>
      <c r="B6" s="42">
        <f>Inputs!E9*B5</f>
        <v>772</v>
      </c>
      <c r="C6" s="16" t="s">
        <v>8</v>
      </c>
      <c r="D6" s="43">
        <f>Inputs!E14</f>
        <v>2.4176</v>
      </c>
      <c r="E6" s="16" t="s">
        <v>9</v>
      </c>
      <c r="F6" s="18">
        <f>B6*D6</f>
        <v>1866.3872000000001</v>
      </c>
      <c r="G6" s="42">
        <f>G5*Inputs!E9</f>
        <v>926.4</v>
      </c>
      <c r="H6" s="16" t="s">
        <v>8</v>
      </c>
      <c r="I6" s="38">
        <f aca="true" t="shared" si="0" ref="I6:I17">D6</f>
        <v>2.4176</v>
      </c>
      <c r="J6" s="16" t="s">
        <v>9</v>
      </c>
      <c r="K6" s="18">
        <f>G6*I6</f>
        <v>2239.66464</v>
      </c>
    </row>
    <row r="7" spans="1:11" ht="13.5">
      <c r="A7" s="15" t="s">
        <v>10</v>
      </c>
      <c r="B7" s="42">
        <f>Inputs!E10*B5</f>
        <v>634</v>
      </c>
      <c r="C7" s="16" t="s">
        <v>8</v>
      </c>
      <c r="D7" s="43">
        <f>Inputs!E15</f>
        <v>1.8198</v>
      </c>
      <c r="E7" s="16" t="s">
        <v>9</v>
      </c>
      <c r="F7" s="18">
        <f>B7*D7</f>
        <v>1153.7532</v>
      </c>
      <c r="G7" s="42">
        <f>G5*Inputs!E10</f>
        <v>760.8</v>
      </c>
      <c r="H7" s="16" t="s">
        <v>8</v>
      </c>
      <c r="I7" s="38">
        <f t="shared" si="0"/>
        <v>1.8198</v>
      </c>
      <c r="J7" s="16" t="s">
        <v>9</v>
      </c>
      <c r="K7" s="18">
        <f>G7*I7</f>
        <v>1384.50384</v>
      </c>
    </row>
    <row r="8" spans="1:11" ht="13.5">
      <c r="A8" s="15" t="s">
        <v>11</v>
      </c>
      <c r="B8" s="42">
        <f>Inputs!E11*B5</f>
        <v>1152</v>
      </c>
      <c r="C8" s="16" t="s">
        <v>8</v>
      </c>
      <c r="D8" s="43">
        <f>Inputs!E16</f>
        <v>0.3345</v>
      </c>
      <c r="E8" s="16" t="s">
        <v>9</v>
      </c>
      <c r="F8" s="18">
        <f>B8*D8</f>
        <v>385.34400000000005</v>
      </c>
      <c r="G8" s="42">
        <f>G5*Inputs!E11</f>
        <v>1382.3999999999999</v>
      </c>
      <c r="H8" s="16" t="s">
        <v>8</v>
      </c>
      <c r="I8" s="38">
        <f t="shared" si="0"/>
        <v>0.3345</v>
      </c>
      <c r="J8" s="16" t="s">
        <v>9</v>
      </c>
      <c r="K8" s="18">
        <f>G8*I8</f>
        <v>462.4128</v>
      </c>
    </row>
    <row r="9" spans="1:11" ht="13.5">
      <c r="A9" s="15" t="s">
        <v>12</v>
      </c>
      <c r="D9" s="43">
        <f>Inputs!E17</f>
        <v>0.43</v>
      </c>
      <c r="E9" s="16" t="s">
        <v>13</v>
      </c>
      <c r="F9" s="18">
        <f>B5*D9</f>
        <v>86</v>
      </c>
      <c r="I9" s="38">
        <f t="shared" si="0"/>
        <v>0.43</v>
      </c>
      <c r="J9" s="16" t="s">
        <v>13</v>
      </c>
      <c r="K9" s="18">
        <f>G5*I9</f>
        <v>103.2</v>
      </c>
    </row>
    <row r="10" spans="1:11" ht="13.5">
      <c r="A10" s="15" t="s">
        <v>14</v>
      </c>
      <c r="B10" s="19">
        <f>Inputs!E12*1000</f>
        <v>206000</v>
      </c>
      <c r="C10" s="16" t="s">
        <v>15</v>
      </c>
      <c r="D10" s="43">
        <f>Inputs!E18</f>
        <v>0.00078</v>
      </c>
      <c r="E10" s="16" t="s">
        <v>16</v>
      </c>
      <c r="F10" s="39">
        <f>(B10/1000)*D10</f>
        <v>0.16068</v>
      </c>
      <c r="G10" s="19">
        <f>Inputs!E12*1000</f>
        <v>206000</v>
      </c>
      <c r="H10" s="16" t="s">
        <v>15</v>
      </c>
      <c r="I10" s="38">
        <f t="shared" si="0"/>
        <v>0.00078</v>
      </c>
      <c r="J10" s="16" t="s">
        <v>16</v>
      </c>
      <c r="K10" s="39">
        <f>(G10/1000)*I10</f>
        <v>0.16068</v>
      </c>
    </row>
    <row r="11" spans="1:11" ht="13.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t="shared" si="0"/>
        <v>0</v>
      </c>
      <c r="J11" s="16" t="s">
        <v>9</v>
      </c>
      <c r="K11" s="18">
        <f>G7*I11</f>
        <v>0</v>
      </c>
    </row>
    <row r="12" spans="1:11" ht="13.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3.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3.5">
      <c r="A14" s="15" t="s">
        <v>20</v>
      </c>
      <c r="B14" s="8">
        <v>0.36</v>
      </c>
      <c r="C14" s="16" t="s">
        <v>21</v>
      </c>
      <c r="D14" s="44">
        <f>Inputs!E31*12</f>
        <v>750</v>
      </c>
      <c r="E14" s="16" t="s">
        <v>22</v>
      </c>
      <c r="F14" s="18">
        <f>B14*D14</f>
        <v>270</v>
      </c>
      <c r="G14" s="8">
        <v>0.39</v>
      </c>
      <c r="H14" s="16" t="s">
        <v>21</v>
      </c>
      <c r="I14" s="17">
        <f t="shared" si="0"/>
        <v>750</v>
      </c>
      <c r="J14" s="16" t="s">
        <v>22</v>
      </c>
      <c r="K14" s="18">
        <f>G14*I14</f>
        <v>292.5</v>
      </c>
    </row>
    <row r="15" spans="1:11" ht="13.5">
      <c r="A15" s="15" t="s">
        <v>23</v>
      </c>
      <c r="B15" s="8">
        <v>0.51</v>
      </c>
      <c r="C15" s="16" t="s">
        <v>21</v>
      </c>
      <c r="D15" s="44">
        <v>150</v>
      </c>
      <c r="E15" s="16" t="s">
        <v>22</v>
      </c>
      <c r="F15" s="18">
        <f>B15*D15</f>
        <v>76.5</v>
      </c>
      <c r="G15" s="8">
        <v>0.52</v>
      </c>
      <c r="H15" s="16" t="s">
        <v>21</v>
      </c>
      <c r="I15" s="17">
        <f t="shared" si="0"/>
        <v>150</v>
      </c>
      <c r="J15" s="16" t="s">
        <v>22</v>
      </c>
      <c r="K15" s="18">
        <f>G15*I15</f>
        <v>78</v>
      </c>
    </row>
    <row r="16" spans="1:11" ht="13.5">
      <c r="A16" s="15" t="s">
        <v>24</v>
      </c>
      <c r="B16" s="8">
        <v>0.18</v>
      </c>
      <c r="C16" s="16" t="s">
        <v>21</v>
      </c>
      <c r="D16" s="44">
        <v>450</v>
      </c>
      <c r="E16" s="16" t="s">
        <v>22</v>
      </c>
      <c r="F16" s="18">
        <f>B16*D16</f>
        <v>81</v>
      </c>
      <c r="G16" s="16">
        <v>0.21</v>
      </c>
      <c r="H16" s="16" t="s">
        <v>21</v>
      </c>
      <c r="I16" s="17">
        <f t="shared" si="0"/>
        <v>450</v>
      </c>
      <c r="J16" s="16" t="s">
        <v>22</v>
      </c>
      <c r="K16" s="18">
        <f>G16*I16</f>
        <v>94.5</v>
      </c>
    </row>
    <row r="17" spans="1:11" ht="13.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3.5">
      <c r="A18" s="27" t="s">
        <v>25</v>
      </c>
      <c r="B18" s="28"/>
      <c r="C18" s="29"/>
      <c r="D18" s="29"/>
      <c r="E18" s="29"/>
      <c r="F18" s="30">
        <f>SUM(F6:F17)</f>
        <v>3956.1450800000002</v>
      </c>
      <c r="G18" s="28"/>
      <c r="H18" s="29"/>
      <c r="I18" s="29"/>
      <c r="J18" s="29"/>
      <c r="K18" s="30">
        <f>SUM(K6:K17)</f>
        <v>4699.34196</v>
      </c>
    </row>
    <row r="19" spans="1:11" ht="13.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3.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3.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3.5">
      <c r="A22" s="15" t="s">
        <v>30</v>
      </c>
      <c r="B22" s="46">
        <f>Inputs!E25</f>
        <v>3.25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339.235</v>
      </c>
      <c r="G22" s="8"/>
      <c r="H22" s="45">
        <v>112.91</v>
      </c>
      <c r="I22" s="16" t="s">
        <v>32</v>
      </c>
      <c r="J22" s="16"/>
      <c r="K22" s="18">
        <f>B22*H22</f>
        <v>366.9575</v>
      </c>
    </row>
    <row r="23" spans="1:11" ht="13.5">
      <c r="A23" s="15" t="s">
        <v>33</v>
      </c>
      <c r="B23" s="46">
        <f>Inputs!E25*10</f>
        <v>32.5</v>
      </c>
      <c r="C23" s="16" t="s">
        <v>34</v>
      </c>
      <c r="D23" s="45">
        <v>8.04</v>
      </c>
      <c r="E23" s="16" t="s">
        <v>35</v>
      </c>
      <c r="F23" s="18">
        <f t="shared" si="1"/>
        <v>261.29999999999995</v>
      </c>
      <c r="G23" s="8"/>
      <c r="H23" s="45">
        <v>7.99</v>
      </c>
      <c r="I23" s="16" t="s">
        <v>35</v>
      </c>
      <c r="J23" s="16"/>
      <c r="K23" s="18">
        <f>B23*H23</f>
        <v>259.675</v>
      </c>
    </row>
    <row r="24" spans="1:11" ht="13.5">
      <c r="A24" s="15" t="s">
        <v>36</v>
      </c>
      <c r="B24" s="46">
        <f>Inputs!E29</f>
        <v>155</v>
      </c>
      <c r="C24" s="16" t="s">
        <v>34</v>
      </c>
      <c r="D24" s="45">
        <v>6.09</v>
      </c>
      <c r="E24" s="16" t="s">
        <v>35</v>
      </c>
      <c r="F24" s="18">
        <f t="shared" si="1"/>
        <v>943.9499999999999</v>
      </c>
      <c r="G24" s="8"/>
      <c r="H24" s="45">
        <v>6.03</v>
      </c>
      <c r="I24" s="16" t="s">
        <v>35</v>
      </c>
      <c r="J24" s="16"/>
      <c r="K24" s="18">
        <f>H24*B24</f>
        <v>934.6500000000001</v>
      </c>
    </row>
    <row r="25" spans="1:11" ht="13.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3.5">
      <c r="A26" s="15" t="s">
        <v>39</v>
      </c>
      <c r="B26" s="46">
        <f>Inputs!E26/2000</f>
        <v>0.13835</v>
      </c>
      <c r="C26" s="16" t="s">
        <v>38</v>
      </c>
      <c r="D26" s="45">
        <v>1284.83</v>
      </c>
      <c r="E26" s="16" t="s">
        <v>8</v>
      </c>
      <c r="F26" s="18">
        <f t="shared" si="1"/>
        <v>177.7562305</v>
      </c>
      <c r="G26" s="8"/>
      <c r="H26" s="45">
        <v>1855.08</v>
      </c>
      <c r="I26" s="16" t="s">
        <v>8</v>
      </c>
      <c r="J26" s="16"/>
      <c r="K26" s="18">
        <f>B26*H26</f>
        <v>256.65031799999997</v>
      </c>
    </row>
    <row r="27" spans="1:11" ht="13.5">
      <c r="A27" s="15" t="s">
        <v>40</v>
      </c>
      <c r="B27" s="46">
        <f>Inputs!E27/2000</f>
        <v>0.1</v>
      </c>
      <c r="C27" s="16" t="s">
        <v>38</v>
      </c>
      <c r="D27" s="45">
        <v>724.5</v>
      </c>
      <c r="E27" s="16" t="s">
        <v>8</v>
      </c>
      <c r="F27" s="18">
        <f t="shared" si="1"/>
        <v>72.45</v>
      </c>
      <c r="G27" s="8"/>
      <c r="H27" s="45">
        <v>1361.25</v>
      </c>
      <c r="I27" s="16" t="s">
        <v>8</v>
      </c>
      <c r="J27" s="16"/>
      <c r="K27" s="18">
        <f>B27*H27</f>
        <v>136.125</v>
      </c>
    </row>
    <row r="28" spans="1:11" ht="13.5">
      <c r="A28" s="15" t="s">
        <v>41</v>
      </c>
      <c r="B28" s="46">
        <f>Inputs!E28</f>
        <v>0.242</v>
      </c>
      <c r="C28" s="16" t="s">
        <v>38</v>
      </c>
      <c r="D28" s="45">
        <v>26</v>
      </c>
      <c r="E28" s="16" t="s">
        <v>8</v>
      </c>
      <c r="F28" s="18">
        <f t="shared" si="1"/>
        <v>6.292</v>
      </c>
      <c r="G28" s="8"/>
      <c r="H28" s="45">
        <v>111</v>
      </c>
      <c r="I28" s="16" t="s">
        <v>8</v>
      </c>
      <c r="J28" s="16"/>
      <c r="K28" s="18">
        <f>B28*H28</f>
        <v>26.862</v>
      </c>
    </row>
    <row r="29" spans="1:11" ht="13.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3.5">
      <c r="A30" s="27" t="s">
        <v>43</v>
      </c>
      <c r="B30" s="28"/>
      <c r="C30" s="29"/>
      <c r="D30" s="29"/>
      <c r="E30" s="29"/>
      <c r="F30" s="30">
        <f>SUM(F22:F29)</f>
        <v>1899.8590304999998</v>
      </c>
      <c r="G30" s="28"/>
      <c r="H30" s="29"/>
      <c r="I30" s="29"/>
      <c r="J30" s="29"/>
      <c r="K30" s="30">
        <f>SUM(K22:K29)</f>
        <v>2070.172018</v>
      </c>
    </row>
    <row r="31" spans="1:11" ht="13.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3.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3.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3.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3.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3.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3.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3.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3.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3.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55.61682818625</v>
      </c>
      <c r="G40" s="8"/>
      <c r="H40" s="16">
        <v>3</v>
      </c>
      <c r="I40" s="16" t="s">
        <v>54</v>
      </c>
      <c r="J40" s="16"/>
      <c r="K40" s="20">
        <f>(K30+K39)*B40*0.25</f>
        <v>60.371370405</v>
      </c>
    </row>
    <row r="41" spans="1:11" ht="13.5">
      <c r="A41" s="27" t="s">
        <v>55</v>
      </c>
      <c r="B41" s="28"/>
      <c r="C41" s="29"/>
      <c r="D41" s="29"/>
      <c r="E41" s="29"/>
      <c r="F41" s="30">
        <f>F30+F39+F40</f>
        <v>2527.47585868625</v>
      </c>
      <c r="G41" s="28"/>
      <c r="H41" s="29"/>
      <c r="I41" s="29"/>
      <c r="J41" s="29"/>
      <c r="K41" s="30">
        <f>K30+K39+K40</f>
        <v>2743.5433884050003</v>
      </c>
    </row>
    <row r="42" spans="1:11" ht="13.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3.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3.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3.5">
      <c r="A45" s="15" t="s">
        <v>58</v>
      </c>
      <c r="B45" s="48">
        <v>0.075</v>
      </c>
      <c r="C45" s="16" t="s">
        <v>59</v>
      </c>
      <c r="D45" s="16"/>
      <c r="E45" s="16"/>
      <c r="F45" s="18">
        <v>126.82</v>
      </c>
      <c r="G45" s="8"/>
      <c r="H45" s="16"/>
      <c r="I45" s="16"/>
      <c r="J45" s="16"/>
      <c r="K45" s="18">
        <v>152.25</v>
      </c>
    </row>
    <row r="46" spans="1:11" ht="13.5">
      <c r="A46" s="15" t="s">
        <v>60</v>
      </c>
      <c r="B46" s="48">
        <v>0.05</v>
      </c>
      <c r="C46" s="24" t="s">
        <v>80</v>
      </c>
      <c r="D46" s="16"/>
      <c r="E46" s="16"/>
      <c r="F46" s="20">
        <v>45.5</v>
      </c>
      <c r="G46" s="8"/>
      <c r="H46" s="55">
        <v>0.05</v>
      </c>
      <c r="I46" s="16" t="s">
        <v>81</v>
      </c>
      <c r="J46" s="16"/>
      <c r="K46" s="20">
        <v>53.44</v>
      </c>
    </row>
    <row r="47" spans="1:11" ht="13.5">
      <c r="A47" s="27" t="s">
        <v>61</v>
      </c>
      <c r="B47" s="28"/>
      <c r="C47" s="29"/>
      <c r="D47" s="29"/>
      <c r="E47" s="29"/>
      <c r="F47" s="30">
        <f>SUM(F44:F46)</f>
        <v>482.32</v>
      </c>
      <c r="G47" s="28"/>
      <c r="H47" s="29"/>
      <c r="I47" s="29"/>
      <c r="J47" s="29"/>
      <c r="K47" s="30">
        <f>SUM(K44:K46)</f>
        <v>545.69</v>
      </c>
    </row>
    <row r="48" spans="1:11" ht="13.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3.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3.5">
      <c r="A50" s="27" t="s">
        <v>65</v>
      </c>
      <c r="B50" s="28"/>
      <c r="C50" s="31">
        <f>F50/((F18-F46)/((F6+F7+F8+F9+F10+F11+F12+F13)/200))</f>
        <v>13.57896348466071</v>
      </c>
      <c r="D50" s="29"/>
      <c r="E50" s="29"/>
      <c r="F50" s="30">
        <f>F41+F47</f>
        <v>3009.79585868625</v>
      </c>
      <c r="G50" s="28"/>
      <c r="H50" s="31">
        <f>K50/((K18-K46)/((K6+K7+K8+K9+K10+K11+K12+K13)/240))</f>
        <v>12.491061183840493</v>
      </c>
      <c r="I50" s="29"/>
      <c r="J50" s="29"/>
      <c r="K50" s="30">
        <f>K41+K47</f>
        <v>3289.2333884050004</v>
      </c>
    </row>
    <row r="51" spans="1:11" ht="13.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3.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3.5">
      <c r="A53" s="15" t="s">
        <v>67</v>
      </c>
      <c r="B53" s="8"/>
      <c r="C53" s="17">
        <f>F53/((F18-F46)/((F6+F7+F8+F9+F10+F11+F12+F13+F17)/200))</f>
        <v>17.848502723632755</v>
      </c>
      <c r="D53" s="16"/>
      <c r="E53" s="16"/>
      <c r="F53" s="18">
        <f>F18</f>
        <v>3956.1450800000002</v>
      </c>
      <c r="G53" s="8"/>
      <c r="H53" s="17">
        <f>K53/((K18-K46)/((K6+K7+K8+K9+K10+K11+K12+K13+K17)/240))</f>
        <v>17.846033107007134</v>
      </c>
      <c r="I53" s="16"/>
      <c r="J53" s="16"/>
      <c r="K53" s="18">
        <f>K18</f>
        <v>4699.34196</v>
      </c>
    </row>
    <row r="54" spans="1:11" ht="13.5">
      <c r="A54" s="15" t="s">
        <v>68</v>
      </c>
      <c r="B54" s="8"/>
      <c r="C54" s="17">
        <f>F54/((F18-F46)/((F6+F7+F8+F9+F10+F11+F12+F13)/200))</f>
        <v>11.402933622362902</v>
      </c>
      <c r="D54" s="16"/>
      <c r="E54" s="16"/>
      <c r="F54" s="18">
        <f>F41</f>
        <v>2527.47585868625</v>
      </c>
      <c r="G54" s="8"/>
      <c r="H54" s="17">
        <f>K54/((K18-K46)/((K6+K7+K8+K9+K10+K11+K12+K13)/240))</f>
        <v>10.418770661240872</v>
      </c>
      <c r="I54" s="16"/>
      <c r="J54" s="16"/>
      <c r="K54" s="18">
        <f>K41</f>
        <v>2743.5433884050003</v>
      </c>
    </row>
    <row r="55" spans="1:11" ht="13.5">
      <c r="A55" s="15" t="s">
        <v>69</v>
      </c>
      <c r="B55" s="8"/>
      <c r="C55" s="17">
        <f>F55/((F18-F46)/((F6+F7+F8+F9+F10+F11+F12+F13)/200))</f>
        <v>6.4455691012698555</v>
      </c>
      <c r="D55" s="16"/>
      <c r="E55" s="16"/>
      <c r="F55" s="18">
        <f>F18-F41</f>
        <v>1428.6692213137503</v>
      </c>
      <c r="G55" s="8"/>
      <c r="H55" s="17">
        <f>K55/((K18-K46)/((K6+K7+K8+K9+K10+K11+K12+K13)/240))</f>
        <v>7.427262445766264</v>
      </c>
      <c r="I55" s="16"/>
      <c r="J55" s="16"/>
      <c r="K55" s="18">
        <f>K18-K41</f>
        <v>1955.7985715949994</v>
      </c>
    </row>
    <row r="56" spans="1:11" ht="13.5">
      <c r="A56" s="15" t="s">
        <v>70</v>
      </c>
      <c r="B56" s="8"/>
      <c r="C56" s="17">
        <f>F56/((F18-F46)/((F6+F7+F8+F9+F10+F11+F12+F13)/200))</f>
        <v>2.176029862297808</v>
      </c>
      <c r="D56" s="16"/>
      <c r="E56" s="16"/>
      <c r="F56" s="18">
        <f>F47</f>
        <v>482.32</v>
      </c>
      <c r="G56" s="8"/>
      <c r="H56" s="17">
        <f>K56/((K18-K46)/((K6+K7+K8+K9+K10+K11+K12+K13)/240))</f>
        <v>2.0722905225996207</v>
      </c>
      <c r="I56" s="16"/>
      <c r="J56" s="16"/>
      <c r="K56" s="18">
        <f>K47</f>
        <v>545.69</v>
      </c>
    </row>
    <row r="57" spans="1:11" ht="13.5">
      <c r="A57" s="15" t="s">
        <v>71</v>
      </c>
      <c r="B57" s="8"/>
      <c r="C57" s="17">
        <f>F57/((F18-F46)/((F6+F7+F8+F9+F10+F11+F12+F13)/200))</f>
        <v>4.2695392389720475</v>
      </c>
      <c r="D57" s="16"/>
      <c r="E57" s="16"/>
      <c r="F57" s="18">
        <f>F55-F56</f>
        <v>946.3492213137504</v>
      </c>
      <c r="G57" s="8"/>
      <c r="H57" s="17">
        <f>K57/((K18-K46)/((K6+K7+K8+K9+K10+K11+K12+K13)/240))</f>
        <v>5.3549719231666435</v>
      </c>
      <c r="I57" s="16"/>
      <c r="J57" s="16"/>
      <c r="K57" s="18">
        <f>K55-K56</f>
        <v>1410.1085715949994</v>
      </c>
    </row>
    <row r="58" spans="1:11" ht="13.5">
      <c r="A58" s="15" t="s">
        <v>102</v>
      </c>
      <c r="B58" s="8"/>
      <c r="C58" s="17">
        <f>F58/((F18-F46)/((F6+F7+F8+F9+F10+F11+F12+F13)/200))</f>
        <v>4.105546472655095</v>
      </c>
      <c r="D58" s="16"/>
      <c r="E58" s="16"/>
      <c r="F58" s="18">
        <f>70*13</f>
        <v>910</v>
      </c>
      <c r="G58" s="8"/>
      <c r="H58" s="17">
        <f>K58/((K18-K46)/((K6+K7+K8+K9+K10+K11+K12+K13)/240))</f>
        <v>3.4557796103385705</v>
      </c>
      <c r="I58" s="16"/>
      <c r="J58" s="16"/>
      <c r="K58" s="18">
        <f>70*13</f>
        <v>910</v>
      </c>
    </row>
    <row r="59" spans="1:11" ht="13.5">
      <c r="A59" s="27" t="s">
        <v>72</v>
      </c>
      <c r="B59" s="28"/>
      <c r="C59" s="31">
        <f>F59/((F18-F46)/((F6+F7+F8+F9+F10+F11+F12+F13)/200))</f>
        <v>0.16399276631695303</v>
      </c>
      <c r="D59" s="29"/>
      <c r="E59" s="29"/>
      <c r="F59" s="30">
        <f>F57-F58</f>
        <v>36.34922131375038</v>
      </c>
      <c r="G59" s="28"/>
      <c r="H59" s="31">
        <f>K59/((K18-K46)/((K6+K7+K8+K9+K10+K11+K12+K13)/240))</f>
        <v>1.8991923128280725</v>
      </c>
      <c r="I59" s="29"/>
      <c r="J59" s="29"/>
      <c r="K59" s="30">
        <f>K57-K58</f>
        <v>500.1085715949994</v>
      </c>
    </row>
    <row r="60" spans="1:11" ht="13.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3.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3.5">
      <c r="A62" s="27" t="s">
        <v>74</v>
      </c>
      <c r="B62" s="28"/>
      <c r="C62" s="29"/>
      <c r="D62" s="29"/>
      <c r="E62" s="29"/>
      <c r="F62" s="51">
        <f>((F50+F58)-(F14+F15+F16))/B5</f>
        <v>17.46147929343125</v>
      </c>
      <c r="G62" s="28"/>
      <c r="H62" s="29"/>
      <c r="I62" s="29"/>
      <c r="J62" s="29"/>
      <c r="K62" s="51">
        <f>((K50+K58)-(K14+K15+K16))/G5</f>
        <v>15.559305785020834</v>
      </c>
    </row>
    <row r="63" spans="1:11" ht="13.5">
      <c r="A63" s="27" t="s">
        <v>75</v>
      </c>
      <c r="B63" s="28"/>
      <c r="C63" s="29"/>
      <c r="D63" s="29"/>
      <c r="E63" s="29"/>
      <c r="F63" s="52">
        <f>(SUM(F6:F12))/B5</f>
        <v>17.643225400000002</v>
      </c>
      <c r="G63" s="28"/>
      <c r="H63" s="29"/>
      <c r="I63" s="29"/>
      <c r="J63" s="29"/>
      <c r="K63" s="52">
        <f>(SUM(K6:K12))/G5</f>
        <v>17.6430915</v>
      </c>
    </row>
    <row r="64" spans="1:11" ht="13.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65" spans="1:11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3.5">
      <c r="A66" s="26"/>
      <c r="B66" s="26"/>
      <c r="C66" s="26"/>
      <c r="E66" s="26"/>
      <c r="F66" s="26"/>
      <c r="G66" s="26"/>
      <c r="H66" s="26"/>
      <c r="I66" s="26"/>
      <c r="J66" s="26"/>
      <c r="K66" s="26"/>
    </row>
    <row r="67" spans="1:11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3.5">
      <c r="A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 Extension</dc:creator>
  <cp:keywords/>
  <dc:description/>
  <cp:lastModifiedBy>Kimberly Clark</cp:lastModifiedBy>
  <cp:lastPrinted>2017-04-13T18:26:11Z</cp:lastPrinted>
  <dcterms:created xsi:type="dcterms:W3CDTF">2003-03-13T16:41:38Z</dcterms:created>
  <dcterms:modified xsi:type="dcterms:W3CDTF">2017-04-20T19:32:22Z</dcterms:modified>
  <cp:category/>
  <cp:version/>
  <cp:contentType/>
  <cp:contentStatus/>
</cp:coreProperties>
</file>