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English Units" sheetId="1" r:id="rId1"/>
    <sheet name="Espanol" sheetId="2" r:id="rId2"/>
    <sheet name="Metric Units" sheetId="3" r:id="rId3"/>
    <sheet name="Espanol - (unidades métricas)" sheetId="4" r:id="rId4"/>
    <sheet name="Russian" sheetId="5" r:id="rId5"/>
  </sheets>
  <definedNames/>
  <calcPr fullCalcOnLoad="1"/>
</workbook>
</file>

<file path=xl/sharedStrings.xml><?xml version="1.0" encoding="utf-8"?>
<sst xmlns="http://schemas.openxmlformats.org/spreadsheetml/2006/main" count="217" uniqueCount="167">
  <si>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</si>
  <si>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</si>
  <si>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</si>
  <si>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</si>
  <si>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</si>
  <si>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</si>
  <si>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</si>
  <si>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Bunker Silo Maximum Silage Height (feet) =</t>
  </si>
  <si>
    <t>Average Silage Height (feet) =</t>
  </si>
  <si>
    <t>Values in yellow cells are user changeable</t>
  </si>
  <si>
    <t>Values in pink cells are results of calculations</t>
  </si>
  <si>
    <t>Tractor Weight (lbs)</t>
  </si>
  <si>
    <t>Packing Tractor  - Each Tractor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</si>
  <si>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</si>
  <si>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</si>
  <si>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</si>
  <si>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</si>
  <si>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Bunker Silo Maximum Silage Height (meters) =</t>
  </si>
  <si>
    <t>Tractor Weight (Kg)</t>
  </si>
  <si>
    <t>Average Silage Height (meters) =</t>
  </si>
  <si>
    <t>Est. Average Dry Matter Density (Kg DM/cu m) =</t>
  </si>
  <si>
    <t>Silage Packing Layer Thickness (cm) =</t>
  </si>
  <si>
    <t xml:space="preserve">     Spreadsheet to Calculate Average</t>
  </si>
  <si>
    <t xml:space="preserve">     Silage Density in a Bunker Silo(Metric Units)</t>
  </si>
  <si>
    <t xml:space="preserve">     Silage Density in a Bunker Silo(English Units)</t>
  </si>
  <si>
    <t>Silage Dry Matter Content (decimal ie 0.35) =</t>
  </si>
  <si>
    <t>Silage Delivery Rate to Bunker (T AF/Hr) =</t>
  </si>
  <si>
    <t>Silage Delivery Rate to Bunker (tonne AF/Hr)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</si>
  <si>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</si>
  <si>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</si>
  <si>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</si>
  <si>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</si>
  <si>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</si>
  <si>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</si>
  <si>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Total Tractor Weight (lbs) =</t>
  </si>
  <si>
    <t>Maximum Achievable DM Density (lbs DM/cu ft)=</t>
  </si>
  <si>
    <t>Maximum Achievable DM Density (Kg DM/cu m)=</t>
  </si>
  <si>
    <t>Typical tractor weight is 10,000-60,000 lbs</t>
  </si>
  <si>
    <t>Recommended value is 15.24 cm or less</t>
  </si>
  <si>
    <t>Recommended value is 6 inches or less</t>
  </si>
  <si>
    <t>=====================================================================================</t>
  </si>
  <si>
    <t>=======================================================================================</t>
  </si>
  <si>
    <t>Typical tractor weight is 4,500-27,000 Kg</t>
  </si>
  <si>
    <t>Datos a Ingresar</t>
  </si>
  <si>
    <t>Silo</t>
  </si>
  <si>
    <t>Altura del Muro (metros) =</t>
  </si>
  <si>
    <t>Cero para silos en montículo</t>
  </si>
  <si>
    <t>Altura Máxima del Silo (metros) =</t>
  </si>
  <si>
    <t>Tasa de Llenado (toneladas de forraje por hora) =</t>
  </si>
  <si>
    <t>Rango típico 15 a 200</t>
  </si>
  <si>
    <t>Contenido de MS del Forraje, (en decimales) =</t>
  </si>
  <si>
    <t>Rango recomendado 0.30 a 0.40</t>
  </si>
  <si>
    <t>Espesor de la Capa de Forraje (cm) =</t>
  </si>
  <si>
    <t>Espesor recomendado 15 cm o menos</t>
  </si>
  <si>
    <t>Maquinaria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</si>
  <si>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</si>
  <si>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</si>
  <si>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</si>
  <si>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</si>
  <si>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</si>
  <si>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</si>
  <si>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</si>
  <si>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</si>
  <si>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 xml:space="preserve">Hoja de Cálculo para Estimar la Densidad Promedio en Silos Horizontales </t>
    </r>
    <r>
      <rPr>
        <i/>
        <sz val="10"/>
        <color indexed="12"/>
        <rFont val="Trebuchet MS"/>
        <family val="2"/>
      </rPr>
      <t>(unidades métricas)</t>
    </r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</si>
  <si>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</si>
  <si>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t>Bunker Silo Wall Height (feet)   =</t>
  </si>
  <si>
    <t>Bunker Silo Wall Height (meters)  =</t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</si>
  <si>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</t>
    </r>
  </si>
  <si>
    <t>-----------------------------------------------------------------------------------------------------------------------------------------------------------</t>
  </si>
  <si>
    <t>Row Number</t>
  </si>
  <si>
    <t>Est. Average Wet Density = Bulk Density (lbs AF/cu ft) =</t>
  </si>
  <si>
    <t>Maximum Achievable Bulk Density (lbs AF/cu ft)=</t>
  </si>
  <si>
    <t>Density greater than 15 lbs DM/cu ft is recommended</t>
  </si>
  <si>
    <t xml:space="preserve">Packing Factor </t>
  </si>
  <si>
    <t>DM Density</t>
  </si>
  <si>
    <t>Wet Density greater than 44 lbs AF/cu ft is recommended</t>
  </si>
  <si>
    <t>DM Density greater than Max. Achievable is unrealistic</t>
  </si>
  <si>
    <t>Wet Density greater than Max. Wet Density is unrealistic</t>
  </si>
  <si>
    <t>Gas Filled Porosity =</t>
  </si>
  <si>
    <t>Gas Filled Porosity less than 0.40 is recommended</t>
  </si>
  <si>
    <t>Dry Matter Density greater than 240 Kg DM/cu m is recommended</t>
  </si>
  <si>
    <t>Est. Average Wet Density = Bulk Density (kg AF/cu m) =</t>
  </si>
  <si>
    <t>Maximum Achievable Bulk Density (kg AF/cu m)=</t>
  </si>
  <si>
    <t>Wet Density greater than 705 kg AF/cu m is recommended</t>
  </si>
  <si>
    <r>
      <t>Objetivo Recomendado: mayor a 240 kg MS por m</t>
    </r>
    <r>
      <rPr>
        <vertAlign val="superscript"/>
        <sz val="10"/>
        <color indexed="10"/>
        <rFont val="Trebuchet MS"/>
        <family val="2"/>
      </rPr>
      <t>3</t>
    </r>
  </si>
  <si>
    <t>Densidad mayor a Densidad Maxima de MS Alcanzable es irreal</t>
  </si>
  <si>
    <t>Se recomienda una porosidad de llenado de gas menor a 0.40</t>
  </si>
  <si>
    <t>Se recomienda una densidad humeda mayor de 705 kg AF/ m cubico</t>
  </si>
  <si>
    <t>Una densidad humeda mayor que la maxima densidad humeda no es real</t>
  </si>
  <si>
    <r>
      <t>Densidad Estimada Promedio</t>
    </r>
    <r>
      <rPr>
        <b/>
        <sz val="12"/>
        <rFont val="Arial"/>
        <family val="2"/>
      </rPr>
      <t xml:space="preserve"> (Promedio Estimado de Densidad) de MS (kg MS por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</si>
  <si>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r>
      <t>Densidad Maxima de MS Alcanzable</t>
    </r>
    <r>
      <rPr>
        <b/>
        <sz val="12"/>
        <rFont val="Arial"/>
        <family val="2"/>
      </rPr>
      <t xml:space="preserve"> (Máxima Densidad de MS Alcanzable) (kg MS por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</si>
  <si>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Peso típico rango de 4,500 - 27,000 kg</t>
  </si>
  <si>
    <r>
      <t xml:space="preserve">Universidad de Wisconsin - Madison </t>
    </r>
    <r>
      <rPr>
        <sz val="12"/>
        <color indexed="10"/>
        <rFont val="Trebuchet MS"/>
        <family val="2"/>
      </rPr>
      <t>(23 de Agosto del 2007)</t>
    </r>
  </si>
  <si>
    <r>
      <t>Densidad humeda promedio estimada= Densidad en volumen (kg AF/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</si>
  <si>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Maxima densidad en volumen alcanzable (kg AF/ metro cubico) =</t>
  </si>
  <si>
    <t xml:space="preserve">                                                                  Porosidad de llenado de gas =</t>
  </si>
  <si>
    <t xml:space="preserve">     Hoja de calculo para calcular la densidad promedio  </t>
  </si>
  <si>
    <t xml:space="preserve">     del ensilado en un silo bunker (unidades inglesas)</t>
  </si>
  <si>
    <t>Altura de la pared del silo bunker (pies)  =</t>
  </si>
  <si>
    <t>Altura máxima del ensilado del silo bunker (pies)=</t>
  </si>
  <si>
    <t>Los valores en celdas amarillas son cambiables por el usuario</t>
  </si>
  <si>
    <t>Tasa de llenado de ensilado en el bunker (T AF/Hr) =</t>
  </si>
  <si>
    <t>Valores típicos 15-200 T AF/hr</t>
  </si>
  <si>
    <t>Contenido de materia seca del ensilado (decimal ie 0.35) =</t>
  </si>
  <si>
    <t>Rango recomendado de MS = 0.3-0.4</t>
  </si>
  <si>
    <t>Espesor de la capa de compactación del ensilado (pulgadas) =</t>
  </si>
  <si>
    <t>El valor recomendado es de 6 pulgadas o menos</t>
  </si>
  <si>
    <t>Tractor compactador  - Cada Tractor</t>
  </si>
  <si>
    <t>Peso del tractor (lbs)</t>
  </si>
  <si>
    <t>Tiempo de compactado con tractor (% del tiempo de llenado)</t>
  </si>
  <si>
    <t>====================================================================================================</t>
  </si>
  <si>
    <t>El peso típico del tractor es 10,000-60,000 lbs</t>
  </si>
  <si>
    <t>Peso total proporcional del tractor (lbs) =</t>
  </si>
  <si>
    <t>Altura promedio del ensilado (pies) =</t>
  </si>
  <si>
    <t>Las celdas verdes son valores intermedios calculados</t>
  </si>
  <si>
    <t xml:space="preserve"> Factor de compactación =</t>
  </si>
  <si>
    <t>Los valores en rosa son resultados de cálculos</t>
  </si>
  <si>
    <t>Densidad húmeda promedio estimada = Densidad bruta (lbs AF/pies cub) =</t>
  </si>
  <si>
    <t>Se recomienda una densidad húmeda superior a las 44 lbs AF/pies cub</t>
  </si>
  <si>
    <t>Densidad bruta máxima alcanzable (lbs AF/pies cub)=</t>
  </si>
  <si>
    <t>Una densidad húmeda superior a la Densidad Húmeda Máxima no es realista</t>
  </si>
  <si>
    <t>Porosidad llena de gas =</t>
  </si>
  <si>
    <t>Se recomienda una porosidad llena de gas menor a  0.40</t>
  </si>
  <si>
    <t>Densidad promedio estimada de materia seca  (lbs MS/pies cub) =</t>
  </si>
  <si>
    <t>Se recomienda una densidad mayor a las 15 lbs MS/pies cub.</t>
  </si>
  <si>
    <t>Densidad máxima de MS alcanzable (lbs MS/pies cub)=</t>
  </si>
  <si>
    <t>Una densidad de la MS superior a la Máxima alcanzable no es realista</t>
  </si>
  <si>
    <t xml:space="preserve">     Таблица для расчета средней </t>
  </si>
  <si>
    <t xml:space="preserve">     плотности силоса в силосной яме</t>
  </si>
  <si>
    <t>Браен Холмс (1) и Ричард Мак (2)</t>
  </si>
  <si>
    <t>(1) Факультет моделирования биологических систем и</t>
  </si>
  <si>
    <t xml:space="preserve">(2) Исследовательский центр США по кормам для КРС </t>
  </si>
  <si>
    <t xml:space="preserve">Университет Висконсина, Медисон </t>
  </si>
  <si>
    <t>Высота стенки силосной ямы (м)  =</t>
  </si>
  <si>
    <t>Максимальная высота силосной массы в силосной яме (м) =</t>
  </si>
  <si>
    <t>Значения в желтых ячейках изменяются пользователем</t>
  </si>
  <si>
    <t>Скорость загрузки силоса в яму (тонн/ час) =</t>
  </si>
  <si>
    <t>Типичные значения  15-200 т/ час</t>
  </si>
  <si>
    <t>Содержание СВ в силосе (десятичная дробь, т.е. 0.35) =</t>
  </si>
  <si>
    <t>Рекомендуемое содержание СВ = 0.3-0.4</t>
  </si>
  <si>
    <t>Толщина трамбуемого слоя силоса (см) =</t>
  </si>
  <si>
    <t>Рекомендуемое значение 15.24 и менее см.</t>
  </si>
  <si>
    <t xml:space="preserve">Трамбующий трактор  -каждый трактор </t>
  </si>
  <si>
    <t>вес трактора (кг)</t>
  </si>
  <si>
    <t>Время утрамбовки трактором (% от времени заполнения)</t>
  </si>
  <si>
    <t>Трактор № 1</t>
  </si>
  <si>
    <t>типичный вес трактора 4,500-27,000 кг</t>
  </si>
  <si>
    <t>Трактор №  2</t>
  </si>
  <si>
    <t>Трактор № 3</t>
  </si>
  <si>
    <t>Трактор №  4</t>
  </si>
  <si>
    <t>Пропорциональный общий вес трактора (кг) =</t>
  </si>
  <si>
    <t>Средняя высота силоса (м) =</t>
  </si>
  <si>
    <t xml:space="preserve">В зеленых ячейка промежуточные результаты расчетов </t>
  </si>
  <si>
    <t>Коэффициент утрамбовки  =</t>
  </si>
  <si>
    <t xml:space="preserve">В розовых ячейках результаты расчетов </t>
  </si>
  <si>
    <t>Расчетная плотность влажного силоса = насыпная плотность (кг/ м3) =</t>
  </si>
  <si>
    <t>Рекомендуется плотность влажнгого силоса более 705 кг/ м3</t>
  </si>
  <si>
    <t>Максимальная достижимая насыпная плотность (кг/м3)=</t>
  </si>
  <si>
    <t xml:space="preserve">Плотности влажного силоса выше Макс.плотности влаж.силоса достичь нереалистично </t>
  </si>
  <si>
    <t>Газонасыщенная пористость =</t>
  </si>
  <si>
    <t>Рекомендуется газонасыщенная пористоть менее 0.40</t>
  </si>
  <si>
    <t>Средняя расчетная плотность сухого вещества (кг СВ/м3) =</t>
  </si>
  <si>
    <t>Рекомендуется плотность СВ более 240 кг СВ/м3</t>
  </si>
  <si>
    <t>Максимально достижимая плотность СВ (кг СВ/ м3)=</t>
  </si>
  <si>
    <t xml:space="preserve">Плотность СВ выше максимально достижимой нереалистична </t>
  </si>
  <si>
    <t>================================================================================================================</t>
  </si>
  <si>
    <t>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</si>
</sst>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"/>
    <numFmt numFmtId="167" formatCode="0.0000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_);_(* \(#,##0.0000\);_(* &quot;-&quot;????_);_(@_)"/>
    <numFmt numFmtId="183" formatCode="0.000"/>
    <numFmt numFmtId="184" formatCode="0.000000"/>
    <numFmt numFmtId="185" formatCode="0.0000000"/>
    <numFmt numFmtId="186" formatCode="0.00000000"/>
    <numFmt numFmtId="187" formatCode="&quot;$&quot;#,##0.000_);[Red]\(&quot;$&quot;#,##0.000\)"/>
    <numFmt numFmtId="188" formatCode="&quot;$&quot;#,##0.0000_);[Red]\(&quot;$&quot;#,##0.0000\)"/>
    <numFmt numFmtId="189" formatCode="_(* #,##0.000_);_(* \(#,##0.000\);_(* &quot;-&quot;??_);_(@_)"/>
    <numFmt numFmtId="190" formatCode="_(* #,##0.0_);_(* \(#,##0.0\);_(* &quot;-&quot;?_);_(@_)"/>
    <numFmt numFmtId="191" formatCode="_(* #,##0_);_(* \(#,##0\);_(* &quot;-&quot;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* #,##0.00_);_(* \(#,##0.00\);_(* &quot;-&quot;?_);_(@_)"/>
    <numFmt numFmtId="195" formatCode="mmm\-yyyy"/>
  </numFmts>
  <fonts count="75">
    <font>
      <sz val="10"/>
      <name val="Arial"/>
      <family val="0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b/>
      <sz val="12"/>
      <name val="Trebuchet MS"/>
      <family val="2"/>
    </font>
    <font>
      <vertAlign val="superscript"/>
      <sz val="10"/>
      <color indexed="10"/>
      <name val="Trebuchet MS"/>
      <family val="2"/>
    </font>
    <font>
      <sz val="12"/>
      <color indexed="10"/>
      <name val="Trebuchet MS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0"/>
    </font>
    <font>
      <b/>
      <sz val="16"/>
      <color indexed="9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8"/>
      <color indexed="9"/>
      <name val="Arial"/>
      <family val="0"/>
    </font>
    <font>
      <b/>
      <sz val="18"/>
      <color indexed="10"/>
      <name val="Arial"/>
      <family val="0"/>
    </font>
    <font>
      <sz val="18"/>
      <color indexed="10"/>
      <name val="Arial"/>
      <family val="0"/>
    </font>
    <font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1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34" borderId="0" xfId="0" applyFont="1" applyFill="1" applyAlignment="1" applyProtection="1">
      <alignment/>
      <protection/>
    </xf>
    <xf numFmtId="165" fontId="3" fillId="34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5" fontId="5" fillId="3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8" fillId="0" borderId="0" xfId="0" applyNumberFormat="1" applyFont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15" fontId="18" fillId="0" borderId="0" xfId="0" applyNumberFormat="1" applyFont="1" applyAlignment="1" applyProtection="1">
      <alignment horizontal="left"/>
      <protection/>
    </xf>
    <xf numFmtId="177" fontId="19" fillId="0" borderId="0" xfId="42" applyNumberFormat="1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/>
      <protection/>
    </xf>
    <xf numFmtId="0" fontId="15" fillId="0" borderId="0" xfId="0" applyFont="1" applyAlignment="1" quotePrefix="1">
      <alignment/>
    </xf>
    <xf numFmtId="0" fontId="15" fillId="0" borderId="0" xfId="0" applyFont="1" applyFill="1" applyBorder="1" applyAlignment="1">
      <alignment/>
    </xf>
    <xf numFmtId="177" fontId="15" fillId="0" borderId="0" xfId="42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quotePrefix="1">
      <alignment/>
    </xf>
    <xf numFmtId="0" fontId="20" fillId="37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0" fillId="37" borderId="12" xfId="0" applyFont="1" applyFill="1" applyBorder="1" applyAlignment="1">
      <alignment horizontal="center"/>
    </xf>
    <xf numFmtId="0" fontId="15" fillId="0" borderId="0" xfId="0" applyFont="1" applyAlignment="1" applyProtection="1" quotePrefix="1">
      <alignment/>
      <protection/>
    </xf>
    <xf numFmtId="177" fontId="15" fillId="0" borderId="0" xfId="42" applyNumberFormat="1" applyFont="1" applyAlignment="1" applyProtection="1">
      <alignment/>
      <protection/>
    </xf>
    <xf numFmtId="0" fontId="20" fillId="38" borderId="13" xfId="0" applyFont="1" applyFill="1" applyBorder="1" applyAlignment="1">
      <alignment horizontal="center"/>
    </xf>
    <xf numFmtId="0" fontId="21" fillId="0" borderId="0" xfId="0" applyFont="1" applyFill="1" applyAlignment="1" applyProtection="1">
      <alignment/>
      <protection/>
    </xf>
    <xf numFmtId="177" fontId="22" fillId="0" borderId="0" xfId="42" applyNumberFormat="1" applyFont="1" applyFill="1" applyAlignment="1" applyProtection="1">
      <alignment/>
      <protection/>
    </xf>
    <xf numFmtId="177" fontId="15" fillId="0" borderId="0" xfId="42" applyNumberFormat="1" applyFont="1" applyAlignment="1">
      <alignment/>
    </xf>
    <xf numFmtId="165" fontId="3" fillId="35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177" fontId="22" fillId="0" borderId="0" xfId="42" applyNumberFormat="1" applyFont="1" applyFill="1" applyBorder="1" applyAlignment="1" applyProtection="1">
      <alignment/>
      <protection/>
    </xf>
    <xf numFmtId="177" fontId="21" fillId="0" borderId="0" xfId="42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7" fillId="39" borderId="0" xfId="0" applyFont="1" applyFill="1" applyAlignment="1" applyProtection="1">
      <alignment horizontal="center"/>
      <protection/>
    </xf>
    <xf numFmtId="0" fontId="27" fillId="39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27" fillId="39" borderId="0" xfId="0" applyNumberFormat="1" applyFont="1" applyFill="1" applyBorder="1" applyAlignment="1">
      <alignment horizontal="center"/>
    </xf>
    <xf numFmtId="176" fontId="27" fillId="39" borderId="0" xfId="0" applyNumberFormat="1" applyFont="1" applyFill="1" applyAlignment="1">
      <alignment horizontal="center"/>
    </xf>
    <xf numFmtId="177" fontId="21" fillId="0" borderId="0" xfId="42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0" fontId="3" fillId="39" borderId="14" xfId="0" applyFont="1" applyFill="1" applyBorder="1" applyAlignment="1" applyProtection="1">
      <alignment/>
      <protection locked="0"/>
    </xf>
    <xf numFmtId="0" fontId="3" fillId="39" borderId="10" xfId="0" applyFont="1" applyFill="1" applyBorder="1" applyAlignment="1" applyProtection="1">
      <alignment/>
      <protection locked="0"/>
    </xf>
    <xf numFmtId="0" fontId="3" fillId="39" borderId="15" xfId="0" applyFont="1" applyFill="1" applyBorder="1" applyAlignment="1" applyProtection="1">
      <alignment/>
      <protection locked="0"/>
    </xf>
    <xf numFmtId="0" fontId="3" fillId="39" borderId="0" xfId="0" applyFont="1" applyFill="1" applyAlignment="1" applyProtection="1">
      <alignment horizontal="left"/>
      <protection locked="0"/>
    </xf>
    <xf numFmtId="2" fontId="3" fillId="35" borderId="14" xfId="0" applyNumberFormat="1" applyFont="1" applyFill="1" applyBorder="1" applyAlignment="1" applyProtection="1">
      <alignment/>
      <protection/>
    </xf>
    <xf numFmtId="3" fontId="3" fillId="39" borderId="14" xfId="0" applyNumberFormat="1" applyFont="1" applyFill="1" applyBorder="1" applyAlignment="1" applyProtection="1">
      <alignment/>
      <protection locked="0"/>
    </xf>
    <xf numFmtId="3" fontId="3" fillId="34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28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1" fillId="35" borderId="0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176" fontId="3" fillId="39" borderId="16" xfId="42" applyNumberFormat="1" applyFont="1" applyFill="1" applyBorder="1" applyAlignment="1" applyProtection="1">
      <alignment/>
      <protection locked="0"/>
    </xf>
    <xf numFmtId="176" fontId="3" fillId="39" borderId="17" xfId="42" applyNumberFormat="1" applyFont="1" applyFill="1" applyBorder="1" applyAlignment="1" applyProtection="1">
      <alignment/>
      <protection locked="0"/>
    </xf>
    <xf numFmtId="177" fontId="3" fillId="39" borderId="17" xfId="42" applyNumberFormat="1" applyFont="1" applyFill="1" applyBorder="1" applyAlignment="1" applyProtection="1">
      <alignment/>
      <protection locked="0"/>
    </xf>
    <xf numFmtId="43" fontId="3" fillId="39" borderId="17" xfId="42" applyNumberFormat="1" applyFont="1" applyFill="1" applyBorder="1" applyAlignment="1" applyProtection="1">
      <alignment/>
      <protection locked="0"/>
    </xf>
    <xf numFmtId="177" fontId="3" fillId="39" borderId="18" xfId="42" applyNumberFormat="1" applyFont="1" applyFill="1" applyBorder="1" applyAlignment="1" applyProtection="1">
      <alignment/>
      <protection locked="0"/>
    </xf>
    <xf numFmtId="0" fontId="3" fillId="0" borderId="15" xfId="42" applyNumberFormat="1" applyFont="1" applyBorder="1" applyAlignment="1" applyProtection="1">
      <alignment horizontal="center"/>
      <protection/>
    </xf>
    <xf numFmtId="1" fontId="3" fillId="39" borderId="19" xfId="42" applyNumberFormat="1" applyFont="1" applyFill="1" applyBorder="1" applyAlignment="1" applyProtection="1">
      <alignment/>
      <protection locked="0"/>
    </xf>
    <xf numFmtId="1" fontId="3" fillId="39" borderId="20" xfId="42" applyNumberFormat="1" applyFont="1" applyFill="1" applyBorder="1" applyAlignment="1" applyProtection="1">
      <alignment/>
      <protection locked="0"/>
    </xf>
    <xf numFmtId="1" fontId="3" fillId="39" borderId="21" xfId="42" applyNumberFormat="1" applyFont="1" applyFill="1" applyBorder="1" applyAlignment="1" applyProtection="1">
      <alignment/>
      <protection locked="0"/>
    </xf>
    <xf numFmtId="177" fontId="3" fillId="0" borderId="0" xfId="42" applyNumberFormat="1" applyFont="1" applyFill="1" applyBorder="1" applyAlignment="1" applyProtection="1">
      <alignment/>
      <protection locked="0"/>
    </xf>
    <xf numFmtId="177" fontId="3" fillId="34" borderId="14" xfId="42" applyNumberFormat="1" applyFont="1" applyFill="1" applyBorder="1" applyAlignment="1" applyProtection="1">
      <alignment/>
      <protection/>
    </xf>
    <xf numFmtId="176" fontId="3" fillId="34" borderId="14" xfId="42" applyNumberFormat="1" applyFont="1" applyFill="1" applyBorder="1" applyAlignment="1" applyProtection="1">
      <alignment/>
      <protection/>
    </xf>
    <xf numFmtId="177" fontId="3" fillId="0" borderId="0" xfId="42" applyNumberFormat="1" applyFont="1" applyAlignment="1" applyProtection="1">
      <alignment/>
      <protection/>
    </xf>
    <xf numFmtId="177" fontId="3" fillId="35" borderId="10" xfId="42" applyNumberFormat="1" applyFont="1" applyFill="1" applyBorder="1" applyAlignment="1" applyProtection="1">
      <alignment/>
      <protection/>
    </xf>
    <xf numFmtId="1" fontId="24" fillId="39" borderId="22" xfId="42" applyNumberFormat="1" applyFont="1" applyFill="1" applyBorder="1" applyAlignment="1" applyProtection="1">
      <alignment horizontal="right"/>
      <protection locked="0"/>
    </xf>
    <xf numFmtId="1" fontId="24" fillId="39" borderId="23" xfId="42" applyNumberFormat="1" applyFont="1" applyFill="1" applyBorder="1" applyAlignment="1" applyProtection="1">
      <alignment horizontal="right"/>
      <protection locked="0"/>
    </xf>
    <xf numFmtId="1" fontId="24" fillId="39" borderId="24" xfId="42" applyNumberFormat="1" applyFont="1" applyFill="1" applyBorder="1" applyAlignment="1" applyProtection="1">
      <alignment horizontal="right"/>
      <protection locked="0"/>
    </xf>
    <xf numFmtId="0" fontId="20" fillId="37" borderId="13" xfId="0" applyFont="1" applyFill="1" applyBorder="1" applyAlignment="1">
      <alignment horizontal="center"/>
    </xf>
    <xf numFmtId="177" fontId="3" fillId="35" borderId="25" xfId="42" applyNumberFormat="1" applyFont="1" applyFill="1" applyBorder="1" applyAlignment="1" applyProtection="1">
      <alignment/>
      <protection/>
    </xf>
    <xf numFmtId="177" fontId="24" fillId="35" borderId="14" xfId="42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9" borderId="14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3" fontId="3" fillId="39" borderId="14" xfId="0" applyNumberFormat="1" applyFont="1" applyFill="1" applyBorder="1" applyAlignment="1" applyProtection="1">
      <alignment/>
      <protection locked="0"/>
    </xf>
    <xf numFmtId="0" fontId="3" fillId="39" borderId="0" xfId="0" applyFont="1" applyFill="1" applyAlignment="1" applyProtection="1">
      <alignment horizontal="left"/>
      <protection locked="0"/>
    </xf>
    <xf numFmtId="3" fontId="3" fillId="34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34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165" fontId="3" fillId="35" borderId="14" xfId="0" applyNumberFormat="1" applyFont="1" applyFill="1" applyBorder="1" applyAlignment="1" applyProtection="1">
      <alignment/>
      <protection/>
    </xf>
    <xf numFmtId="2" fontId="3" fillId="35" borderId="14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20" fillId="37" borderId="26" xfId="0" applyFont="1" applyFill="1" applyBorder="1" applyAlignment="1">
      <alignment horizontal="center"/>
    </xf>
    <xf numFmtId="0" fontId="20" fillId="37" borderId="27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8</xdr:row>
      <xdr:rowOff>95250</xdr:rowOff>
    </xdr:from>
    <xdr:to>
      <xdr:col>17</xdr:col>
      <xdr:colOff>476250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620375" y="1543050"/>
          <a:ext cx="4267200" cy="156210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171450</xdr:colOff>
      <xdr:row>7</xdr:row>
      <xdr:rowOff>161925</xdr:rowOff>
    </xdr:from>
    <xdr:ext cx="1247775" cy="781050"/>
    <xdr:sp>
      <xdr:nvSpPr>
        <xdr:cNvPr id="2" name="Text Box 2"/>
        <xdr:cNvSpPr txBox="1">
          <a:spLocks noChangeArrowheads="1"/>
        </xdr:cNvSpPr>
      </xdr:nvSpPr>
      <xdr:spPr>
        <a:xfrm>
          <a:off x="8067675" y="1409700"/>
          <a:ext cx="12477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Maximum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(ft)
</a:t>
          </a:r>
        </a:p>
      </xdr:txBody>
    </xdr:sp>
    <xdr:clientData/>
  </xdr:oneCellAnchor>
  <xdr:twoCellAnchor>
    <xdr:from>
      <xdr:col>9</xdr:col>
      <xdr:colOff>47625</xdr:colOff>
      <xdr:row>8</xdr:row>
      <xdr:rowOff>95250</xdr:rowOff>
    </xdr:from>
    <xdr:to>
      <xdr:col>12</xdr:col>
      <xdr:colOff>95250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9182100" y="15430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15</xdr:row>
      <xdr:rowOff>142875</xdr:rowOff>
    </xdr:from>
    <xdr:to>
      <xdr:col>12</xdr:col>
      <xdr:colOff>95250</xdr:colOff>
      <xdr:row>15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8305800" y="31051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171450</xdr:colOff>
      <xdr:row>10</xdr:row>
      <xdr:rowOff>0</xdr:rowOff>
    </xdr:from>
    <xdr:ext cx="1209675" cy="790575"/>
    <xdr:sp>
      <xdr:nvSpPr>
        <xdr:cNvPr id="5" name="Text Box 5"/>
        <xdr:cNvSpPr txBox="1">
          <a:spLocks noChangeArrowheads="1"/>
        </xdr:cNvSpPr>
      </xdr:nvSpPr>
      <xdr:spPr>
        <a:xfrm>
          <a:off x="9305925" y="1847850"/>
          <a:ext cx="1209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Wall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(ft)
</a:t>
          </a:r>
        </a:p>
      </xdr:txBody>
    </xdr:sp>
    <xdr:clientData/>
  </xdr:oneCellAnchor>
  <xdr:twoCellAnchor>
    <xdr:from>
      <xdr:col>9</xdr:col>
      <xdr:colOff>428625</xdr:colOff>
      <xdr:row>14</xdr:row>
      <xdr:rowOff>0</xdr:rowOff>
    </xdr:from>
    <xdr:to>
      <xdr:col>9</xdr:col>
      <xdr:colOff>428625</xdr:colOff>
      <xdr:row>15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563100" y="2762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8</xdr:row>
      <xdr:rowOff>95250</xdr:rowOff>
    </xdr:from>
    <xdr:to>
      <xdr:col>9</xdr:col>
      <xdr:colOff>428625</xdr:colOff>
      <xdr:row>10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9563100" y="1543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6</xdr:row>
      <xdr:rowOff>38100</xdr:rowOff>
    </xdr:from>
    <xdr:to>
      <xdr:col>17</xdr:col>
      <xdr:colOff>476250</xdr:colOff>
      <xdr:row>8</xdr:row>
      <xdr:rowOff>95250</xdr:rowOff>
    </xdr:to>
    <xdr:sp>
      <xdr:nvSpPr>
        <xdr:cNvPr id="8" name="Freeform 8"/>
        <xdr:cNvSpPr>
          <a:spLocks/>
        </xdr:cNvSpPr>
      </xdr:nvSpPr>
      <xdr:spPr>
        <a:xfrm>
          <a:off x="10620375" y="1085850"/>
          <a:ext cx="4267200" cy="457200"/>
        </a:xfrm>
        <a:custGeom>
          <a:pathLst>
            <a:path h="288" w="26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</xdr:row>
      <xdr:rowOff>38100</xdr:rowOff>
    </xdr:from>
    <xdr:to>
      <xdr:col>12</xdr:col>
      <xdr:colOff>171450</xdr:colOff>
      <xdr:row>6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8382000" y="10858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142875</xdr:rowOff>
    </xdr:from>
    <xdr:to>
      <xdr:col>8</xdr:col>
      <xdr:colOff>714375</xdr:colOff>
      <xdr:row>15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8610600" y="2447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6</xdr:row>
      <xdr:rowOff>38100</xdr:rowOff>
    </xdr:from>
    <xdr:to>
      <xdr:col>8</xdr:col>
      <xdr:colOff>714375</xdr:colOff>
      <xdr:row>8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8610600" y="1085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8</xdr:row>
      <xdr:rowOff>114300</xdr:rowOff>
    </xdr:from>
    <xdr:to>
      <xdr:col>12</xdr:col>
      <xdr:colOff>323850</xdr:colOff>
      <xdr:row>15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10610850" y="1562100"/>
          <a:ext cx="1076325" cy="15811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15</xdr:row>
      <xdr:rowOff>190500</xdr:rowOff>
    </xdr:from>
    <xdr:to>
      <xdr:col>16</xdr:col>
      <xdr:colOff>66675</xdr:colOff>
      <xdr:row>15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11639550" y="3152775"/>
          <a:ext cx="2228850" cy="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8</xdr:row>
      <xdr:rowOff>123825</xdr:rowOff>
    </xdr:from>
    <xdr:to>
      <xdr:col>17</xdr:col>
      <xdr:colOff>542925</xdr:colOff>
      <xdr:row>16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13830300" y="1571625"/>
          <a:ext cx="1123950" cy="16192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11</xdr:row>
      <xdr:rowOff>38100</xdr:rowOff>
    </xdr:from>
    <xdr:to>
      <xdr:col>15</xdr:col>
      <xdr:colOff>485775</xdr:colOff>
      <xdr:row>12</xdr:row>
      <xdr:rowOff>123825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963400" y="2085975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Horizontal Silo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8</xdr:row>
      <xdr:rowOff>95250</xdr:rowOff>
    </xdr:from>
    <xdr:to>
      <xdr:col>17</xdr:col>
      <xdr:colOff>476250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601325" y="1543050"/>
          <a:ext cx="4267200" cy="156210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161925</xdr:colOff>
      <xdr:row>7</xdr:row>
      <xdr:rowOff>152400</xdr:rowOff>
    </xdr:from>
    <xdr:ext cx="1695450" cy="561975"/>
    <xdr:sp>
      <xdr:nvSpPr>
        <xdr:cNvPr id="2" name="Text Box 2"/>
        <xdr:cNvSpPr txBox="1">
          <a:spLocks noChangeArrowheads="1"/>
        </xdr:cNvSpPr>
      </xdr:nvSpPr>
      <xdr:spPr>
        <a:xfrm>
          <a:off x="8058150" y="1400175"/>
          <a:ext cx="1695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maxima (pies) </a:t>
          </a:r>
        </a:p>
      </xdr:txBody>
    </xdr:sp>
    <xdr:clientData/>
  </xdr:oneCellAnchor>
  <xdr:twoCellAnchor>
    <xdr:from>
      <xdr:col>9</xdr:col>
      <xdr:colOff>47625</xdr:colOff>
      <xdr:row>8</xdr:row>
      <xdr:rowOff>95250</xdr:rowOff>
    </xdr:from>
    <xdr:to>
      <xdr:col>12</xdr:col>
      <xdr:colOff>95250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9172575" y="15430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15</xdr:row>
      <xdr:rowOff>142875</xdr:rowOff>
    </xdr:from>
    <xdr:to>
      <xdr:col>12</xdr:col>
      <xdr:colOff>95250</xdr:colOff>
      <xdr:row>15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8305800" y="31051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152400</xdr:colOff>
      <xdr:row>10</xdr:row>
      <xdr:rowOff>0</xdr:rowOff>
    </xdr:from>
    <xdr:ext cx="1343025" cy="552450"/>
    <xdr:sp>
      <xdr:nvSpPr>
        <xdr:cNvPr id="5" name="Text Box 5"/>
        <xdr:cNvSpPr txBox="1">
          <a:spLocks noChangeArrowheads="1"/>
        </xdr:cNvSpPr>
      </xdr:nvSpPr>
      <xdr:spPr>
        <a:xfrm>
          <a:off x="9277350" y="1847850"/>
          <a:ext cx="1343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pared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(pies)</a:t>
          </a:r>
        </a:p>
      </xdr:txBody>
    </xdr:sp>
    <xdr:clientData/>
  </xdr:oneCellAnchor>
  <xdr:twoCellAnchor>
    <xdr:from>
      <xdr:col>9</xdr:col>
      <xdr:colOff>438150</xdr:colOff>
      <xdr:row>14</xdr:row>
      <xdr:rowOff>0</xdr:rowOff>
    </xdr:from>
    <xdr:to>
      <xdr:col>9</xdr:col>
      <xdr:colOff>438150</xdr:colOff>
      <xdr:row>15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563100" y="2762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8</xdr:row>
      <xdr:rowOff>95250</xdr:rowOff>
    </xdr:from>
    <xdr:to>
      <xdr:col>9</xdr:col>
      <xdr:colOff>438150</xdr:colOff>
      <xdr:row>10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9563100" y="1543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6</xdr:row>
      <xdr:rowOff>38100</xdr:rowOff>
    </xdr:from>
    <xdr:to>
      <xdr:col>17</xdr:col>
      <xdr:colOff>476250</xdr:colOff>
      <xdr:row>8</xdr:row>
      <xdr:rowOff>95250</xdr:rowOff>
    </xdr:to>
    <xdr:sp>
      <xdr:nvSpPr>
        <xdr:cNvPr id="8" name="Freeform 8"/>
        <xdr:cNvSpPr>
          <a:spLocks/>
        </xdr:cNvSpPr>
      </xdr:nvSpPr>
      <xdr:spPr>
        <a:xfrm>
          <a:off x="10601325" y="1085850"/>
          <a:ext cx="4267200" cy="457200"/>
        </a:xfrm>
        <a:custGeom>
          <a:pathLst>
            <a:path h="288" w="26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</xdr:row>
      <xdr:rowOff>38100</xdr:rowOff>
    </xdr:from>
    <xdr:to>
      <xdr:col>12</xdr:col>
      <xdr:colOff>161925</xdr:colOff>
      <xdr:row>6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8382000" y="108585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12</xdr:row>
      <xdr:rowOff>142875</xdr:rowOff>
    </xdr:from>
    <xdr:to>
      <xdr:col>8</xdr:col>
      <xdr:colOff>714375</xdr:colOff>
      <xdr:row>15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8610600" y="2447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6</xdr:row>
      <xdr:rowOff>38100</xdr:rowOff>
    </xdr:from>
    <xdr:to>
      <xdr:col>8</xdr:col>
      <xdr:colOff>714375</xdr:colOff>
      <xdr:row>8</xdr:row>
      <xdr:rowOff>66675</xdr:rowOff>
    </xdr:to>
    <xdr:sp>
      <xdr:nvSpPr>
        <xdr:cNvPr id="11" name="Line 11"/>
        <xdr:cNvSpPr>
          <a:spLocks/>
        </xdr:cNvSpPr>
      </xdr:nvSpPr>
      <xdr:spPr>
        <a:xfrm flipV="1">
          <a:off x="8610600" y="1085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8</xdr:row>
      <xdr:rowOff>123825</xdr:rowOff>
    </xdr:from>
    <xdr:to>
      <xdr:col>12</xdr:col>
      <xdr:colOff>323850</xdr:colOff>
      <xdr:row>15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10591800" y="1571625"/>
          <a:ext cx="1076325" cy="157162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15</xdr:row>
      <xdr:rowOff>180975</xdr:rowOff>
    </xdr:from>
    <xdr:to>
      <xdr:col>16</xdr:col>
      <xdr:colOff>66675</xdr:colOff>
      <xdr:row>15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11620500" y="3143250"/>
          <a:ext cx="2228850" cy="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8</xdr:row>
      <xdr:rowOff>123825</xdr:rowOff>
    </xdr:from>
    <xdr:to>
      <xdr:col>17</xdr:col>
      <xdr:colOff>542925</xdr:colOff>
      <xdr:row>16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13811250" y="1571625"/>
          <a:ext cx="1123950" cy="160972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11</xdr:row>
      <xdr:rowOff>47625</xdr:rowOff>
    </xdr:from>
    <xdr:to>
      <xdr:col>15</xdr:col>
      <xdr:colOff>495300</xdr:colOff>
      <xdr:row>12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934825" y="2095500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Silo Horizontal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8</xdr:row>
      <xdr:rowOff>95250</xdr:rowOff>
    </xdr:from>
    <xdr:to>
      <xdr:col>18</xdr:col>
      <xdr:colOff>314325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258550" y="1543050"/>
          <a:ext cx="4267200" cy="156210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542925</xdr:colOff>
      <xdr:row>7</xdr:row>
      <xdr:rowOff>114300</xdr:rowOff>
    </xdr:from>
    <xdr:ext cx="1266825" cy="781050"/>
    <xdr:sp>
      <xdr:nvSpPr>
        <xdr:cNvPr id="2" name="Text Box 2"/>
        <xdr:cNvSpPr txBox="1">
          <a:spLocks noChangeArrowheads="1"/>
        </xdr:cNvSpPr>
      </xdr:nvSpPr>
      <xdr:spPr>
        <a:xfrm>
          <a:off x="8601075" y="1362075"/>
          <a:ext cx="1266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Maximum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(m)
</a:t>
          </a:r>
        </a:p>
      </xdr:txBody>
    </xdr:sp>
    <xdr:clientData/>
  </xdr:oneCellAnchor>
  <xdr:twoCellAnchor>
    <xdr:from>
      <xdr:col>9</xdr:col>
      <xdr:colOff>619125</xdr:colOff>
      <xdr:row>8</xdr:row>
      <xdr:rowOff>95250</xdr:rowOff>
    </xdr:from>
    <xdr:to>
      <xdr:col>12</xdr:col>
      <xdr:colOff>542925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820275" y="1543050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15</xdr:row>
      <xdr:rowOff>142875</xdr:rowOff>
    </xdr:from>
    <xdr:to>
      <xdr:col>12</xdr:col>
      <xdr:colOff>542925</xdr:colOff>
      <xdr:row>15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8905875" y="31051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66675</xdr:colOff>
      <xdr:row>9</xdr:row>
      <xdr:rowOff>180975</xdr:rowOff>
    </xdr:from>
    <xdr:ext cx="1266825" cy="790575"/>
    <xdr:sp>
      <xdr:nvSpPr>
        <xdr:cNvPr id="5" name="Text Box 5"/>
        <xdr:cNvSpPr txBox="1">
          <a:spLocks noChangeArrowheads="1"/>
        </xdr:cNvSpPr>
      </xdr:nvSpPr>
      <xdr:spPr>
        <a:xfrm>
          <a:off x="9886950" y="1828800"/>
          <a:ext cx="1266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Wall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(m)
</a:t>
          </a:r>
        </a:p>
      </xdr:txBody>
    </xdr:sp>
    <xdr:clientData/>
  </xdr:oneCellAnchor>
  <xdr:twoCellAnchor>
    <xdr:from>
      <xdr:col>10</xdr:col>
      <xdr:colOff>457200</xdr:colOff>
      <xdr:row>14</xdr:row>
      <xdr:rowOff>38100</xdr:rowOff>
    </xdr:from>
    <xdr:to>
      <xdr:col>10</xdr:col>
      <xdr:colOff>457200</xdr:colOff>
      <xdr:row>15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0277475" y="2800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8</xdr:row>
      <xdr:rowOff>95250</xdr:rowOff>
    </xdr:from>
    <xdr:to>
      <xdr:col>10</xdr:col>
      <xdr:colOff>419100</xdr:colOff>
      <xdr:row>10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10239375" y="154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38100</xdr:rowOff>
    </xdr:from>
    <xdr:to>
      <xdr:col>18</xdr:col>
      <xdr:colOff>314325</xdr:colOff>
      <xdr:row>8</xdr:row>
      <xdr:rowOff>95250</xdr:rowOff>
    </xdr:to>
    <xdr:sp>
      <xdr:nvSpPr>
        <xdr:cNvPr id="8" name="Freeform 8"/>
        <xdr:cNvSpPr>
          <a:spLocks/>
        </xdr:cNvSpPr>
      </xdr:nvSpPr>
      <xdr:spPr>
        <a:xfrm>
          <a:off x="11258550" y="1085850"/>
          <a:ext cx="4267200" cy="457200"/>
        </a:xfrm>
        <a:custGeom>
          <a:pathLst>
            <a:path h="288" w="26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923925</xdr:colOff>
      <xdr:row>6</xdr:row>
      <xdr:rowOff>38100</xdr:rowOff>
    </xdr:from>
    <xdr:to>
      <xdr:col>13</xdr:col>
      <xdr:colOff>9525</xdr:colOff>
      <xdr:row>6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8982075" y="10858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9201150" y="2343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1143000</xdr:colOff>
      <xdr:row>6</xdr:row>
      <xdr:rowOff>38100</xdr:rowOff>
    </xdr:from>
    <xdr:to>
      <xdr:col>8</xdr:col>
      <xdr:colOff>1143000</xdr:colOff>
      <xdr:row>7</xdr:row>
      <xdr:rowOff>190500</xdr:rowOff>
    </xdr:to>
    <xdr:sp>
      <xdr:nvSpPr>
        <xdr:cNvPr id="11" name="Line 11"/>
        <xdr:cNvSpPr>
          <a:spLocks/>
        </xdr:cNvSpPr>
      </xdr:nvSpPr>
      <xdr:spPr>
        <a:xfrm flipV="1">
          <a:off x="9201150" y="1085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123825</xdr:rowOff>
    </xdr:from>
    <xdr:to>
      <xdr:col>13</xdr:col>
      <xdr:colOff>104775</xdr:colOff>
      <xdr:row>15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11191875" y="1571625"/>
          <a:ext cx="1076325" cy="15811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0</xdr:rowOff>
    </xdr:from>
    <xdr:to>
      <xdr:col>16</xdr:col>
      <xdr:colOff>457200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12220575" y="3162300"/>
          <a:ext cx="2228850" cy="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8</xdr:row>
      <xdr:rowOff>133350</xdr:rowOff>
    </xdr:from>
    <xdr:to>
      <xdr:col>18</xdr:col>
      <xdr:colOff>323850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4449425" y="1581150"/>
          <a:ext cx="1085850" cy="159067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390525</xdr:colOff>
      <xdr:row>10</xdr:row>
      <xdr:rowOff>142875</xdr:rowOff>
    </xdr:from>
    <xdr:ext cx="1800225" cy="523875"/>
    <xdr:sp>
      <xdr:nvSpPr>
        <xdr:cNvPr id="15" name="Text Box 15"/>
        <xdr:cNvSpPr txBox="1">
          <a:spLocks noChangeArrowheads="1"/>
        </xdr:cNvSpPr>
      </xdr:nvSpPr>
      <xdr:spPr>
        <a:xfrm>
          <a:off x="12553950" y="1990725"/>
          <a:ext cx="1800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Horizontal Silo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66675</xdr:rowOff>
    </xdr:from>
    <xdr:to>
      <xdr:col>17</xdr:col>
      <xdr:colOff>295275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544550" y="1428750"/>
          <a:ext cx="4267200" cy="1552575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295275</xdr:colOff>
      <xdr:row>6</xdr:row>
      <xdr:rowOff>38100</xdr:rowOff>
    </xdr:from>
    <xdr:ext cx="1724025" cy="762000"/>
    <xdr:sp>
      <xdr:nvSpPr>
        <xdr:cNvPr id="2" name="Text Box 2"/>
        <xdr:cNvSpPr txBox="1">
          <a:spLocks noChangeArrowheads="1"/>
        </xdr:cNvSpPr>
      </xdr:nvSpPr>
      <xdr:spPr>
        <a:xfrm>
          <a:off x="10677525" y="1400175"/>
          <a:ext cx="1724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Altura Maxima 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 Silo (m)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8</xdr:col>
      <xdr:colOff>495300</xdr:colOff>
      <xdr:row>6</xdr:row>
      <xdr:rowOff>66675</xdr:rowOff>
    </xdr:from>
    <xdr:to>
      <xdr:col>11</xdr:col>
      <xdr:colOff>523875</xdr:colOff>
      <xdr:row>6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12192000" y="14287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12</xdr:row>
      <xdr:rowOff>152400</xdr:rowOff>
    </xdr:from>
    <xdr:to>
      <xdr:col>11</xdr:col>
      <xdr:colOff>523875</xdr:colOff>
      <xdr:row>12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0896600" y="29813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600075</xdr:colOff>
      <xdr:row>6</xdr:row>
      <xdr:rowOff>152400</xdr:rowOff>
    </xdr:from>
    <xdr:ext cx="1162050" cy="771525"/>
    <xdr:sp>
      <xdr:nvSpPr>
        <xdr:cNvPr id="5" name="Text Box 5"/>
        <xdr:cNvSpPr txBox="1">
          <a:spLocks noChangeArrowheads="1"/>
        </xdr:cNvSpPr>
      </xdr:nvSpPr>
      <xdr:spPr>
        <a:xfrm>
          <a:off x="12296775" y="1514475"/>
          <a:ext cx="1162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Altura del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Muro (m)
</a:t>
          </a:r>
        </a:p>
      </xdr:txBody>
    </xdr:sp>
    <xdr:clientData/>
  </xdr:oneCellAnchor>
  <xdr:twoCellAnchor>
    <xdr:from>
      <xdr:col>9</xdr:col>
      <xdr:colOff>533400</xdr:colOff>
      <xdr:row>11</xdr:row>
      <xdr:rowOff>85725</xdr:rowOff>
    </xdr:from>
    <xdr:to>
      <xdr:col>9</xdr:col>
      <xdr:colOff>533400</xdr:colOff>
      <xdr:row>12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2944475" y="25241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6</xdr:row>
      <xdr:rowOff>66675</xdr:rowOff>
    </xdr:from>
    <xdr:to>
      <xdr:col>9</xdr:col>
      <xdr:colOff>542925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2954000" y="1428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</xdr:row>
      <xdr:rowOff>9525</xdr:rowOff>
    </xdr:from>
    <xdr:to>
      <xdr:col>17</xdr:col>
      <xdr:colOff>295275</xdr:colOff>
      <xdr:row>6</xdr:row>
      <xdr:rowOff>66675</xdr:rowOff>
    </xdr:to>
    <xdr:sp>
      <xdr:nvSpPr>
        <xdr:cNvPr id="8" name="Freeform 8"/>
        <xdr:cNvSpPr>
          <a:spLocks/>
        </xdr:cNvSpPr>
      </xdr:nvSpPr>
      <xdr:spPr>
        <a:xfrm>
          <a:off x="13544550" y="971550"/>
          <a:ext cx="4267200" cy="457200"/>
        </a:xfrm>
        <a:custGeom>
          <a:pathLst>
            <a:path h="288" w="26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9525</xdr:rowOff>
    </xdr:from>
    <xdr:to>
      <xdr:col>11</xdr:col>
      <xdr:colOff>600075</xdr:colOff>
      <xdr:row>4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10972800" y="9715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28575</xdr:rowOff>
    </xdr:from>
    <xdr:to>
      <xdr:col>7</xdr:col>
      <xdr:colOff>180975</xdr:colOff>
      <xdr:row>12</xdr:row>
      <xdr:rowOff>152400</xdr:rowOff>
    </xdr:to>
    <xdr:sp>
      <xdr:nvSpPr>
        <xdr:cNvPr id="10" name="Line 10"/>
        <xdr:cNvSpPr>
          <a:spLocks/>
        </xdr:cNvSpPr>
      </xdr:nvSpPr>
      <xdr:spPr>
        <a:xfrm flipH="1">
          <a:off x="11201400" y="2466975"/>
          <a:ext cx="19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9525</xdr:rowOff>
    </xdr:from>
    <xdr:to>
      <xdr:col>7</xdr:col>
      <xdr:colOff>161925</xdr:colOff>
      <xdr:row>6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11201400" y="9715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66675</xdr:rowOff>
    </xdr:from>
    <xdr:to>
      <xdr:col>12</xdr:col>
      <xdr:colOff>104775</xdr:colOff>
      <xdr:row>12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13496925" y="1428750"/>
          <a:ext cx="1076325" cy="157162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180975</xdr:rowOff>
    </xdr:from>
    <xdr:to>
      <xdr:col>15</xdr:col>
      <xdr:colOff>457200</xdr:colOff>
      <xdr:row>12</xdr:row>
      <xdr:rowOff>180975</xdr:rowOff>
    </xdr:to>
    <xdr:sp>
      <xdr:nvSpPr>
        <xdr:cNvPr id="13" name="Line 13"/>
        <xdr:cNvSpPr>
          <a:spLocks/>
        </xdr:cNvSpPr>
      </xdr:nvSpPr>
      <xdr:spPr>
        <a:xfrm>
          <a:off x="14525625" y="3009900"/>
          <a:ext cx="2228850" cy="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</xdr:row>
      <xdr:rowOff>76200</xdr:rowOff>
    </xdr:from>
    <xdr:to>
      <xdr:col>17</xdr:col>
      <xdr:colOff>314325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6744950" y="1438275"/>
          <a:ext cx="1085850" cy="16192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238125</xdr:colOff>
      <xdr:row>8</xdr:row>
      <xdr:rowOff>133350</xdr:rowOff>
    </xdr:from>
    <xdr:ext cx="1666875" cy="523875"/>
    <xdr:sp>
      <xdr:nvSpPr>
        <xdr:cNvPr id="15" name="Text Box 15"/>
        <xdr:cNvSpPr txBox="1">
          <a:spLocks noChangeArrowheads="1"/>
        </xdr:cNvSpPr>
      </xdr:nvSpPr>
      <xdr:spPr>
        <a:xfrm>
          <a:off x="14706600" y="1905000"/>
          <a:ext cx="1666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Silo Horizontal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8</xdr:row>
      <xdr:rowOff>95250</xdr:rowOff>
    </xdr:from>
    <xdr:to>
      <xdr:col>18</xdr:col>
      <xdr:colOff>314325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182600" y="1543050"/>
          <a:ext cx="4238625" cy="156210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542925</xdr:colOff>
      <xdr:row>7</xdr:row>
      <xdr:rowOff>114300</xdr:rowOff>
    </xdr:from>
    <xdr:ext cx="1714500" cy="771525"/>
    <xdr:sp>
      <xdr:nvSpPr>
        <xdr:cNvPr id="2" name="Text Box 2"/>
        <xdr:cNvSpPr txBox="1">
          <a:spLocks noChangeArrowheads="1"/>
        </xdr:cNvSpPr>
      </xdr:nvSpPr>
      <xdr:spPr>
        <a:xfrm>
          <a:off x="10677525" y="1362075"/>
          <a:ext cx="1714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Максимальная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высота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</a:p>
      </xdr:txBody>
    </xdr:sp>
    <xdr:clientData/>
  </xdr:oneCellAnchor>
  <xdr:twoCellAnchor>
    <xdr:from>
      <xdr:col>9</xdr:col>
      <xdr:colOff>609600</xdr:colOff>
      <xdr:row>8</xdr:row>
      <xdr:rowOff>95250</xdr:rowOff>
    </xdr:from>
    <xdr:to>
      <xdr:col>12</xdr:col>
      <xdr:colOff>542925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12230100" y="1543050"/>
          <a:ext cx="176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15</xdr:row>
      <xdr:rowOff>142875</xdr:rowOff>
    </xdr:from>
    <xdr:to>
      <xdr:col>12</xdr:col>
      <xdr:colOff>542925</xdr:colOff>
      <xdr:row>15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10982325" y="31051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66675</xdr:colOff>
      <xdr:row>9</xdr:row>
      <xdr:rowOff>180975</xdr:rowOff>
    </xdr:from>
    <xdr:ext cx="1152525" cy="781050"/>
    <xdr:sp>
      <xdr:nvSpPr>
        <xdr:cNvPr id="5" name="Text Box 5"/>
        <xdr:cNvSpPr txBox="1">
          <a:spLocks noChangeArrowheads="1"/>
        </xdr:cNvSpPr>
      </xdr:nvSpPr>
      <xdr:spPr>
        <a:xfrm>
          <a:off x="12296775" y="1828800"/>
          <a:ext cx="11525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Высота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стенки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</a:p>
      </xdr:txBody>
    </xdr:sp>
    <xdr:clientData/>
  </xdr:oneCellAnchor>
  <xdr:twoCellAnchor>
    <xdr:from>
      <xdr:col>10</xdr:col>
      <xdr:colOff>457200</xdr:colOff>
      <xdr:row>14</xdr:row>
      <xdr:rowOff>38100</xdr:rowOff>
    </xdr:from>
    <xdr:to>
      <xdr:col>10</xdr:col>
      <xdr:colOff>457200</xdr:colOff>
      <xdr:row>15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2687300" y="2800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8</xdr:row>
      <xdr:rowOff>95250</xdr:rowOff>
    </xdr:from>
    <xdr:to>
      <xdr:col>10</xdr:col>
      <xdr:colOff>419100</xdr:colOff>
      <xdr:row>10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12649200" y="154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38100</xdr:rowOff>
    </xdr:from>
    <xdr:to>
      <xdr:col>18</xdr:col>
      <xdr:colOff>314325</xdr:colOff>
      <xdr:row>8</xdr:row>
      <xdr:rowOff>95250</xdr:rowOff>
    </xdr:to>
    <xdr:sp>
      <xdr:nvSpPr>
        <xdr:cNvPr id="8" name="Freeform 8"/>
        <xdr:cNvSpPr>
          <a:spLocks/>
        </xdr:cNvSpPr>
      </xdr:nvSpPr>
      <xdr:spPr>
        <a:xfrm>
          <a:off x="13182600" y="1085850"/>
          <a:ext cx="4238625" cy="457200"/>
        </a:xfrm>
        <a:custGeom>
          <a:pathLst>
            <a:path h="288" w="2688">
              <a:moveTo>
                <a:pt x="0" y="288"/>
              </a:moveTo>
              <a:lnTo>
                <a:pt x="240" y="144"/>
              </a:lnTo>
              <a:lnTo>
                <a:pt x="576" y="48"/>
              </a:lnTo>
              <a:lnTo>
                <a:pt x="912" y="0"/>
              </a:lnTo>
              <a:lnTo>
                <a:pt x="1344" y="0"/>
              </a:lnTo>
              <a:lnTo>
                <a:pt x="1728" y="0"/>
              </a:lnTo>
              <a:lnTo>
                <a:pt x="2016" y="48"/>
              </a:lnTo>
              <a:lnTo>
                <a:pt x="2352" y="144"/>
              </a:lnTo>
              <a:lnTo>
                <a:pt x="2448" y="192"/>
              </a:lnTo>
              <a:lnTo>
                <a:pt x="2688" y="288"/>
              </a:lnTo>
              <a:cubicBezTo>
                <a:pt x="1792" y="288"/>
                <a:pt x="896" y="288"/>
                <a:pt x="0" y="288"/>
              </a:cubicBezTo>
              <a:close/>
            </a:path>
          </a:pathLst>
        </a:custGeom>
        <a:solidFill>
          <a:srgbClr val="008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923925</xdr:colOff>
      <xdr:row>6</xdr:row>
      <xdr:rowOff>38100</xdr:rowOff>
    </xdr:from>
    <xdr:to>
      <xdr:col>13</xdr:col>
      <xdr:colOff>9525</xdr:colOff>
      <xdr:row>6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11058525" y="10858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11620500" y="2343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1152525</xdr:colOff>
      <xdr:row>6</xdr:row>
      <xdr:rowOff>38100</xdr:rowOff>
    </xdr:from>
    <xdr:to>
      <xdr:col>8</xdr:col>
      <xdr:colOff>1152525</xdr:colOff>
      <xdr:row>7</xdr:row>
      <xdr:rowOff>190500</xdr:rowOff>
    </xdr:to>
    <xdr:sp>
      <xdr:nvSpPr>
        <xdr:cNvPr id="11" name="Line 11"/>
        <xdr:cNvSpPr>
          <a:spLocks/>
        </xdr:cNvSpPr>
      </xdr:nvSpPr>
      <xdr:spPr>
        <a:xfrm flipV="1">
          <a:off x="11287125" y="1085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123825</xdr:rowOff>
    </xdr:from>
    <xdr:to>
      <xdr:col>13</xdr:col>
      <xdr:colOff>104775</xdr:colOff>
      <xdr:row>15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13115925" y="1571625"/>
          <a:ext cx="1047750" cy="158115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0</xdr:rowOff>
    </xdr:from>
    <xdr:to>
      <xdr:col>16</xdr:col>
      <xdr:colOff>457200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14116050" y="3162300"/>
          <a:ext cx="2228850" cy="0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8</xdr:row>
      <xdr:rowOff>133350</xdr:rowOff>
    </xdr:from>
    <xdr:to>
      <xdr:col>18</xdr:col>
      <xdr:colOff>323850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6344900" y="1581150"/>
          <a:ext cx="1085850" cy="1590675"/>
        </a:xfrm>
        <a:prstGeom prst="line">
          <a:avLst/>
        </a:prstGeom>
        <a:noFill/>
        <a:ln w="127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390525</xdr:colOff>
      <xdr:row>10</xdr:row>
      <xdr:rowOff>142875</xdr:rowOff>
    </xdr:from>
    <xdr:ext cx="2305050" cy="790575"/>
    <xdr:sp>
      <xdr:nvSpPr>
        <xdr:cNvPr id="15" name="Text Box 15"/>
        <xdr:cNvSpPr txBox="1">
          <a:spLocks noChangeArrowheads="1"/>
        </xdr:cNvSpPr>
      </xdr:nvSpPr>
      <xdr:spPr>
        <a:xfrm>
          <a:off x="14449425" y="1990725"/>
          <a:ext cx="2305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Горизонтальное 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силосохранилище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zoomScalePageLayoutView="0" workbookViewId="0" topLeftCell="A1">
      <selection activeCell="Z14" sqref="Z14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22.7109375" style="1" customWidth="1"/>
    <col min="6" max="6" width="9.140625" style="1" customWidth="1"/>
    <col min="7" max="7" width="4.7109375" style="1" customWidth="1"/>
    <col min="8" max="8" width="43.7109375" style="1" customWidth="1"/>
    <col min="9" max="9" width="18.57421875" style="1" customWidth="1"/>
    <col min="10" max="10" width="14.7109375" style="1" customWidth="1"/>
    <col min="11" max="11" width="9.57421875" style="1" bestFit="1" customWidth="1"/>
    <col min="12" max="16384" width="9.140625" style="1" customWidth="1"/>
  </cols>
  <sheetData>
    <row r="1" ht="15.75">
      <c r="H1" s="5" t="s">
        <v>22</v>
      </c>
    </row>
    <row r="2" ht="15.75">
      <c r="H2" s="5" t="s">
        <v>24</v>
      </c>
    </row>
    <row r="3" ht="12.75">
      <c r="H3" s="2" t="s">
        <v>13</v>
      </c>
    </row>
    <row r="4" ht="12.75">
      <c r="H4" s="2" t="s">
        <v>32</v>
      </c>
    </row>
    <row r="5" ht="12.75">
      <c r="H5" s="2" t="s">
        <v>31</v>
      </c>
    </row>
    <row r="6" ht="12.75">
      <c r="H6" s="2" t="s">
        <v>0</v>
      </c>
    </row>
    <row r="7" spans="1:8" ht="15.75">
      <c r="A7" s="6" t="s">
        <v>65</v>
      </c>
      <c r="B7" s="6"/>
      <c r="C7" s="6"/>
      <c r="D7" s="6"/>
      <c r="E7" s="6"/>
      <c r="F7" s="63">
        <v>12</v>
      </c>
      <c r="H7" s="3">
        <v>39317</v>
      </c>
    </row>
    <row r="8" spans="1:6" ht="15.75">
      <c r="A8" s="6"/>
      <c r="B8" s="6"/>
      <c r="C8" s="6"/>
      <c r="D8" s="6"/>
      <c r="E8" s="6"/>
      <c r="F8" s="6"/>
    </row>
    <row r="9" spans="1:8" ht="15.75">
      <c r="A9" s="6" t="s">
        <v>7</v>
      </c>
      <c r="B9" s="6"/>
      <c r="C9" s="6"/>
      <c r="D9" s="6"/>
      <c r="E9" s="6"/>
      <c r="F9" s="63">
        <v>16</v>
      </c>
      <c r="H9" s="1" t="s">
        <v>9</v>
      </c>
    </row>
    <row r="10" spans="1:6" ht="15.75">
      <c r="A10" s="6"/>
      <c r="B10" s="6"/>
      <c r="C10" s="6"/>
      <c r="D10" s="6"/>
      <c r="E10" s="6"/>
      <c r="F10" s="6"/>
    </row>
    <row r="11" spans="1:8" ht="15.75">
      <c r="A11" s="6" t="s">
        <v>26</v>
      </c>
      <c r="B11" s="6"/>
      <c r="C11" s="6"/>
      <c r="D11" s="6"/>
      <c r="E11" s="6"/>
      <c r="F11" s="63">
        <v>160</v>
      </c>
      <c r="H11" s="1" t="s">
        <v>29</v>
      </c>
    </row>
    <row r="12" spans="1:9" ht="20.25">
      <c r="A12" s="6"/>
      <c r="B12" s="6"/>
      <c r="C12" s="6"/>
      <c r="D12" s="6"/>
      <c r="E12" s="6"/>
      <c r="F12" s="6"/>
      <c r="I12" s="54">
        <f>+F9</f>
        <v>16</v>
      </c>
    </row>
    <row r="13" spans="1:8" ht="15.75">
      <c r="A13" s="6" t="s">
        <v>25</v>
      </c>
      <c r="B13" s="6"/>
      <c r="C13" s="6"/>
      <c r="D13" s="6"/>
      <c r="E13" s="6"/>
      <c r="F13" s="63">
        <v>0.35</v>
      </c>
      <c r="H13" s="14" t="s">
        <v>28</v>
      </c>
    </row>
    <row r="14" spans="2:10" ht="20.25">
      <c r="B14" s="6"/>
      <c r="C14" s="6"/>
      <c r="D14" s="6"/>
      <c r="E14" s="6"/>
      <c r="F14" s="15" t="str">
        <f>+IF(F13&gt;1,"F13 must be less than 1"," ")</f>
        <v> </v>
      </c>
      <c r="J14" s="54">
        <f>+F7</f>
        <v>12</v>
      </c>
    </row>
    <row r="15" spans="1:8" ht="15.75">
      <c r="A15" s="6" t="s">
        <v>1</v>
      </c>
      <c r="B15" s="6"/>
      <c r="C15" s="6"/>
      <c r="D15" s="6"/>
      <c r="E15" s="6"/>
      <c r="F15" s="63">
        <v>6</v>
      </c>
      <c r="H15" s="1" t="s">
        <v>39</v>
      </c>
    </row>
    <row r="16" spans="1:6" ht="15.75">
      <c r="A16" s="6"/>
      <c r="B16" s="6"/>
      <c r="C16" s="6"/>
      <c r="D16" s="6"/>
      <c r="E16" s="6"/>
      <c r="F16" s="15" t="str">
        <f>+IF(F15&gt;24,"Consider a thinner layer in cell F15"," ")</f>
        <v> </v>
      </c>
    </row>
    <row r="17" spans="1:8" ht="15.75">
      <c r="A17" s="6" t="s">
        <v>12</v>
      </c>
      <c r="B17" s="6"/>
      <c r="C17" s="6"/>
      <c r="D17" s="6"/>
      <c r="E17" s="6" t="s">
        <v>11</v>
      </c>
      <c r="F17" s="6"/>
      <c r="H17" s="6" t="s">
        <v>14</v>
      </c>
    </row>
    <row r="18" spans="1:15" ht="15.75">
      <c r="A18" s="7" t="s">
        <v>40</v>
      </c>
      <c r="B18" s="6"/>
      <c r="C18" s="6"/>
      <c r="D18" s="6"/>
      <c r="E18" s="6"/>
      <c r="F18" s="6"/>
      <c r="H18" s="6"/>
      <c r="I18" s="19"/>
      <c r="J18" s="19"/>
      <c r="K18" s="19"/>
      <c r="L18" s="19"/>
      <c r="M18" s="19"/>
      <c r="N18" s="19"/>
      <c r="O18" s="19"/>
    </row>
    <row r="19" spans="1:15" ht="15.75">
      <c r="A19" s="6" t="s">
        <v>2</v>
      </c>
      <c r="B19" s="6"/>
      <c r="C19" s="16" t="s">
        <v>37</v>
      </c>
      <c r="D19" s="6"/>
      <c r="E19" s="6"/>
      <c r="F19" s="68">
        <v>40000</v>
      </c>
      <c r="G19" s="21">
        <f>IF(F19&gt;0,H19,0)</f>
        <v>100</v>
      </c>
      <c r="H19" s="66">
        <v>100</v>
      </c>
      <c r="I19" s="50" t="str">
        <f>IF(AND(F19&gt;0,H19&lt;1),"Error in Cell F19 or H19",IF(AND(F19&lt;1,H19&gt;0),"Error in Cell F19 or H19"," "))</f>
        <v> </v>
      </c>
      <c r="J19" s="19"/>
      <c r="K19" s="19"/>
      <c r="L19" s="19"/>
      <c r="M19" s="19"/>
      <c r="N19" s="19"/>
      <c r="O19" s="19"/>
    </row>
    <row r="20" spans="1:15" ht="15.75">
      <c r="A20" s="6" t="s">
        <v>3</v>
      </c>
      <c r="B20" s="6"/>
      <c r="C20" s="16" t="s">
        <v>37</v>
      </c>
      <c r="D20" s="6"/>
      <c r="E20" s="6"/>
      <c r="F20" s="68">
        <v>40000</v>
      </c>
      <c r="G20" s="21">
        <f>IF(F20&gt;0,H20,0)</f>
        <v>100</v>
      </c>
      <c r="H20" s="66">
        <v>100</v>
      </c>
      <c r="I20" s="50" t="str">
        <f>IF(AND(F20&gt;0,H20&lt;1),"Error in Cell F20 or H20",IF(AND(F20&lt;1,H20&gt;0),"Error in Cell F20 or H20"," "))</f>
        <v> </v>
      </c>
      <c r="J20" s="19"/>
      <c r="K20" s="19"/>
      <c r="L20" s="19"/>
      <c r="M20" s="19"/>
      <c r="N20" s="19"/>
      <c r="O20" s="19"/>
    </row>
    <row r="21" spans="1:15" ht="15.75">
      <c r="A21" s="6" t="s">
        <v>4</v>
      </c>
      <c r="B21" s="6"/>
      <c r="C21" s="16" t="s">
        <v>37</v>
      </c>
      <c r="D21" s="6"/>
      <c r="E21" s="6"/>
      <c r="F21" s="68">
        <v>0</v>
      </c>
      <c r="G21" s="21">
        <f>IF(F21&gt;0,H21,0)</f>
        <v>0</v>
      </c>
      <c r="H21" s="66">
        <v>0</v>
      </c>
      <c r="I21" s="50" t="str">
        <f>IF(AND(F21&gt;0,H21&lt;1),"Error in Cell F21 or H21",IF(AND(F21&lt;1,H21&gt;0),"Error in Cell F21 or H21"," "))</f>
        <v> </v>
      </c>
      <c r="J21" s="19"/>
      <c r="K21" s="19"/>
      <c r="L21" s="19"/>
      <c r="M21" s="19"/>
      <c r="N21" s="19"/>
      <c r="O21" s="19"/>
    </row>
    <row r="22" spans="1:15" ht="15.75">
      <c r="A22" s="6" t="s">
        <v>5</v>
      </c>
      <c r="B22" s="6"/>
      <c r="C22" s="16" t="s">
        <v>37</v>
      </c>
      <c r="D22" s="6"/>
      <c r="E22" s="6"/>
      <c r="F22" s="68">
        <v>0</v>
      </c>
      <c r="G22" s="21">
        <f>IF(F22&gt;0,H22,0)</f>
        <v>0</v>
      </c>
      <c r="H22" s="66">
        <v>0</v>
      </c>
      <c r="I22" s="50" t="str">
        <f>IF(AND(F22&gt;0,H22&lt;1),"Error in Cell F22 or H22",IF(AND(F22&lt;1,H22&gt;0),"Error in Cell F22 or H22"," "))</f>
        <v> </v>
      </c>
      <c r="J22" s="19"/>
      <c r="K22" s="19"/>
      <c r="L22" s="19"/>
      <c r="M22" s="19"/>
      <c r="N22" s="19"/>
      <c r="O22" s="19"/>
    </row>
    <row r="23" spans="1:15" ht="15.75">
      <c r="A23" s="6" t="s">
        <v>34</v>
      </c>
      <c r="C23" s="6"/>
      <c r="D23" s="6"/>
      <c r="E23" s="6"/>
      <c r="F23" s="69">
        <f>+F19*H19/100+F20*H20/100+F21*H21/100+F22*H22/100</f>
        <v>80000</v>
      </c>
      <c r="I23" s="19"/>
      <c r="J23" s="19"/>
      <c r="K23" s="19"/>
      <c r="L23" s="19"/>
      <c r="M23" s="18"/>
      <c r="N23" s="18"/>
      <c r="O23" s="19"/>
    </row>
    <row r="24" spans="1:15" ht="15.75">
      <c r="A24" s="6" t="s">
        <v>8</v>
      </c>
      <c r="B24" s="6"/>
      <c r="C24" s="6"/>
      <c r="D24" s="6"/>
      <c r="E24" s="6"/>
      <c r="F24" s="9">
        <f>+(+F7+F9)/2</f>
        <v>14</v>
      </c>
      <c r="H24" s="61" t="s">
        <v>15</v>
      </c>
      <c r="J24" s="19"/>
      <c r="K24" s="19"/>
      <c r="L24" s="19"/>
      <c r="M24" s="19"/>
      <c r="N24" s="19"/>
      <c r="O24" s="19"/>
    </row>
    <row r="25" spans="1:15" ht="15.75">
      <c r="A25" s="6"/>
      <c r="B25" s="6"/>
      <c r="C25" s="6"/>
      <c r="D25" s="6"/>
      <c r="E25" s="6"/>
      <c r="F25" s="62"/>
      <c r="I25" s="18"/>
      <c r="J25" s="19"/>
      <c r="K25" s="19"/>
      <c r="L25" s="19"/>
      <c r="M25" s="19"/>
      <c r="N25" s="74"/>
      <c r="O25" s="19"/>
    </row>
    <row r="26" spans="2:15" ht="15.75">
      <c r="B26" s="6"/>
      <c r="C26" s="6"/>
      <c r="D26" s="6"/>
      <c r="E26" s="6"/>
      <c r="I26" s="22"/>
      <c r="J26" s="19"/>
      <c r="K26" s="19"/>
      <c r="L26" s="19"/>
      <c r="M26" s="19"/>
      <c r="N26" s="75"/>
      <c r="O26" s="19"/>
    </row>
    <row r="27" spans="1:15" ht="15.75">
      <c r="A27" s="7" t="s">
        <v>68</v>
      </c>
      <c r="B27" s="6"/>
      <c r="C27" s="6"/>
      <c r="D27" s="6"/>
      <c r="E27" s="6"/>
      <c r="F27" s="6"/>
      <c r="J27" s="19"/>
      <c r="K27" s="19"/>
      <c r="L27" s="19"/>
      <c r="M27" s="19"/>
      <c r="N27" s="75"/>
      <c r="O27" s="19"/>
    </row>
    <row r="28" spans="4:8" ht="15.75">
      <c r="D28" s="10" t="s">
        <v>6</v>
      </c>
      <c r="E28" s="10"/>
      <c r="F28" s="49">
        <f>+MAX(K32:N35)</f>
        <v>440.9585518440985</v>
      </c>
      <c r="H28" s="12" t="s">
        <v>10</v>
      </c>
    </row>
    <row r="29" spans="1:8" ht="15.75">
      <c r="A29" s="10" t="s">
        <v>70</v>
      </c>
      <c r="B29" s="12"/>
      <c r="C29" s="12"/>
      <c r="D29" s="12"/>
      <c r="E29" s="12"/>
      <c r="F29" s="49">
        <f>F35/F13</f>
        <v>44.18191530581037</v>
      </c>
      <c r="H29" s="4" t="s">
        <v>75</v>
      </c>
    </row>
    <row r="30" spans="1:14" ht="15.75">
      <c r="A30" s="10" t="s">
        <v>71</v>
      </c>
      <c r="B30" s="12"/>
      <c r="C30" s="12"/>
      <c r="D30" s="12"/>
      <c r="E30" s="12"/>
      <c r="F30" s="49">
        <f>F13*93.6+(1-F13)*62.4</f>
        <v>73.32</v>
      </c>
      <c r="H30" s="4" t="s">
        <v>77</v>
      </c>
      <c r="I30" s="2"/>
      <c r="J30" s="19"/>
      <c r="K30" s="19"/>
      <c r="L30" s="70" t="s">
        <v>73</v>
      </c>
      <c r="M30" s="23"/>
      <c r="N30" s="19"/>
    </row>
    <row r="31" spans="10:18" ht="12.75">
      <c r="J31" s="23" t="s">
        <v>69</v>
      </c>
      <c r="K31" s="23">
        <v>19</v>
      </c>
      <c r="L31" s="23">
        <v>20</v>
      </c>
      <c r="M31" s="23">
        <v>21</v>
      </c>
      <c r="N31" s="23">
        <v>22</v>
      </c>
      <c r="O31" s="25"/>
      <c r="P31" s="25"/>
      <c r="Q31" s="25"/>
      <c r="R31" s="25"/>
    </row>
    <row r="32" spans="2:18" ht="15.75">
      <c r="B32" s="19"/>
      <c r="C32" s="19"/>
      <c r="D32" s="19"/>
      <c r="E32" s="10" t="s">
        <v>78</v>
      </c>
      <c r="F32" s="67">
        <f>1-(F29/F30)</f>
        <v>0.39740977487983664</v>
      </c>
      <c r="H32" s="4" t="s">
        <v>79</v>
      </c>
      <c r="J32" s="23">
        <v>19</v>
      </c>
      <c r="K32" s="24">
        <f>+($F$19/$F$15)*($F$13*$G$19/$F$11/100)^0.5</f>
        <v>311.8047822311618</v>
      </c>
      <c r="L32" s="24">
        <f>+(($F$19*$G$19+$F$20*$G$20)/IF($G$19+$G$20,$G$19+$G$20,1)/$F$15)*($F$13*SUM($G$19:$G$20)/$F$11/100)^0.5</f>
        <v>440.9585518440985</v>
      </c>
      <c r="M32" s="24">
        <f>+(($F$19*$G$19+$F$20*$G$20+$F$21*$G$21)/IF($G$19+$G$20+$G$21,$G$19+$G$20+$G$21,1)/$F$15)*($F$13*SUM($G$19:$G$21)/$F$11/100)^0.5</f>
        <v>440.9585518440985</v>
      </c>
      <c r="N32" s="24">
        <f>+(($F$19*$G$19+$F$20*$G$20+$F$21*$G$21+$F$22*$G$22)/IF(SUM($G$19:$G$22),SUM($G$19:$G$22),1)/$F$15)*($F$13*SUM($G$19:$G$22)/$F$11/100)^0.5</f>
        <v>440.9585518440985</v>
      </c>
      <c r="O32" s="25"/>
      <c r="P32" s="25"/>
      <c r="Q32" s="25"/>
      <c r="R32" s="25"/>
    </row>
    <row r="33" spans="10:18" ht="15.75">
      <c r="J33" s="23">
        <v>20</v>
      </c>
      <c r="K33" s="24"/>
      <c r="L33" s="24">
        <f>+($F$20/$F$15)*($F$13*$G$20/$F$11/100)^0.5</f>
        <v>311.8047822311618</v>
      </c>
      <c r="M33" s="24">
        <f>+(($F$20*$G$20+$F$21*$G$21)/IF($G$20+$G$21,$G$20+$G$21,1)/$F$15)*($F$13*SUM($G$20:$G$21)/$F$11/100)^0.5</f>
        <v>311.8047822311618</v>
      </c>
      <c r="N33" s="24">
        <f>+(($F$20*$G$20+$F$21*$G$21+$F$22*$G$22)/IF(SUM($G$20:$G$22),SUM($G$20:$G$22),1)/$F$15)*($F$13*SUM($G$20:$G$22)/$F$11/100)^0.5</f>
        <v>311.8047822311618</v>
      </c>
      <c r="O33" s="25"/>
      <c r="P33" s="25"/>
      <c r="Q33" s="25"/>
      <c r="R33" s="25"/>
    </row>
    <row r="34" spans="10:18" ht="15.75">
      <c r="J34" s="23">
        <v>21</v>
      </c>
      <c r="K34" s="24">
        <f>+(($F$19*$G$19+$F$21*$G21)/IF($G$19+$G21,$G$19+$G21,1)/$F$15)*($F$13*SUM($G$19,$G21)/$F$11/100)^0.5</f>
        <v>311.8047822311618</v>
      </c>
      <c r="L34" s="24"/>
      <c r="M34" s="24">
        <f>+($F$21/$F$15)*(($F$13*$G$21)/$F$11/100)^0.5</f>
        <v>0</v>
      </c>
      <c r="N34" s="24">
        <f>+(($F$21*$G$21+$F$22*$G$22)/IF($G$21+$G$22,$G$21+$G$22,1)/$F$15)*($F$13*SUM($G$21:$G$22)/$F$11/100)^0.5</f>
        <v>0</v>
      </c>
      <c r="O34" s="25"/>
      <c r="P34" s="25"/>
      <c r="Q34" s="25"/>
      <c r="R34" s="25"/>
    </row>
    <row r="35" spans="1:18" ht="15.75">
      <c r="A35" s="10" t="s">
        <v>16</v>
      </c>
      <c r="B35" s="10"/>
      <c r="C35" s="10"/>
      <c r="D35" s="10"/>
      <c r="E35" s="10"/>
      <c r="F35" s="49">
        <f>+IF(F36&lt;J37,F36,J37)</f>
        <v>15.463670357033628</v>
      </c>
      <c r="H35" s="4" t="s">
        <v>72</v>
      </c>
      <c r="J35" s="23">
        <v>22</v>
      </c>
      <c r="K35" s="24">
        <f>+(($F$19*$G$19+$F$22*$G$22)/IF($G$19+$G$22,$G$19+$G$22,1)/$F$15)*($F$13*SUM($G$19,$G$22)/$F$11/100)^0.5</f>
        <v>311.8047822311618</v>
      </c>
      <c r="L35" s="24">
        <f>+(($F$20*$G$20+$F$22*$G$22)/IF($G$20+$G$22,$G$20+$G$22,1)/$F$15)*($F$13*SUM($G$20,$G$22)/$F$11/100)^0.5</f>
        <v>311.8047822311618</v>
      </c>
      <c r="M35" s="24">
        <f>+(($F$19*$G$19+$F$21*$G$21+$F$22*$G$22)/IF($G$19+$G$21+$G$22,$G$19+$G$21+$G$22,1)/$F$15)*($F$13*SUM($G$19,$G$21:$G$22)/$F$11/100)^0.5</f>
        <v>311.8047822311618</v>
      </c>
      <c r="N35" s="24">
        <f>+($F$22/$F$15)*($F$13*$G$22/$F$11/100)^0.5</f>
        <v>0</v>
      </c>
      <c r="O35" s="25"/>
      <c r="P35" s="25"/>
      <c r="Q35" s="25"/>
      <c r="R35" s="25"/>
    </row>
    <row r="36" spans="1:18" ht="15.75">
      <c r="A36" s="10" t="s">
        <v>35</v>
      </c>
      <c r="B36" s="12"/>
      <c r="C36" s="12"/>
      <c r="D36" s="12"/>
      <c r="E36" s="12"/>
      <c r="F36" s="49">
        <f>+F13*(F13*93.6+(1-F13)*62.4)</f>
        <v>25.661999999999995</v>
      </c>
      <c r="H36" s="4" t="s">
        <v>76</v>
      </c>
      <c r="J36" s="71" t="s">
        <v>74</v>
      </c>
      <c r="K36" s="72"/>
      <c r="L36" s="72"/>
      <c r="M36" s="72"/>
      <c r="N36" s="72"/>
      <c r="O36" s="25"/>
      <c r="P36" s="25"/>
      <c r="Q36" s="25"/>
      <c r="R36" s="25"/>
    </row>
    <row r="37" spans="10:18" ht="12.75">
      <c r="J37" s="73">
        <f>(+F28*0.0155+8.5)*(0.818+0.0136*F24)</f>
        <v>15.463670357033628</v>
      </c>
      <c r="K37" s="72"/>
      <c r="L37" s="72"/>
      <c r="M37" s="72"/>
      <c r="N37" s="72"/>
      <c r="O37" s="25"/>
      <c r="P37" s="25"/>
      <c r="Q37" s="25"/>
      <c r="R37" s="25"/>
    </row>
    <row r="40" spans="1:3" ht="15.75">
      <c r="A40" s="6"/>
      <c r="B40" s="6"/>
      <c r="C40" s="6"/>
    </row>
    <row r="43" ht="12.75">
      <c r="A43" s="11">
        <f>+IF(F35=F36,"Estimated DM Density controlled by Maximum Achievable Density","")</f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86" zoomScaleNormal="86" zoomScalePageLayoutView="0" workbookViewId="0" topLeftCell="A1">
      <selection activeCell="K23" sqref="K23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22.7109375" style="1" customWidth="1"/>
    <col min="6" max="6" width="9.140625" style="1" customWidth="1"/>
    <col min="7" max="7" width="4.7109375" style="1" customWidth="1"/>
    <col min="8" max="8" width="43.7109375" style="1" customWidth="1"/>
    <col min="9" max="9" width="18.421875" style="1" customWidth="1"/>
    <col min="10" max="10" width="14.7109375" style="1" customWidth="1"/>
    <col min="11" max="11" width="9.421875" style="1" bestFit="1" customWidth="1"/>
    <col min="12" max="16384" width="9.140625" style="1" customWidth="1"/>
  </cols>
  <sheetData>
    <row r="1" ht="15.75">
      <c r="H1" s="5" t="s">
        <v>96</v>
      </c>
    </row>
    <row r="2" ht="15.75">
      <c r="H2" s="5" t="s">
        <v>97</v>
      </c>
    </row>
    <row r="3" ht="12.75">
      <c r="H3" s="2" t="s">
        <v>13</v>
      </c>
    </row>
    <row r="4" ht="12.75">
      <c r="H4" s="2" t="s">
        <v>32</v>
      </c>
    </row>
    <row r="5" ht="12.75">
      <c r="H5" s="2" t="s">
        <v>31</v>
      </c>
    </row>
    <row r="6" ht="12.75">
      <c r="H6" s="2" t="s">
        <v>0</v>
      </c>
    </row>
    <row r="7" spans="1:8" ht="15.75">
      <c r="A7" s="103" t="s">
        <v>98</v>
      </c>
      <c r="B7" s="103"/>
      <c r="C7" s="103"/>
      <c r="D7" s="103"/>
      <c r="E7" s="103"/>
      <c r="F7" s="104">
        <v>12</v>
      </c>
      <c r="H7" s="3">
        <v>39317</v>
      </c>
    </row>
    <row r="8" spans="1:6" ht="15.75">
      <c r="A8" s="103"/>
      <c r="B8" s="103"/>
      <c r="C8" s="103"/>
      <c r="D8" s="103"/>
      <c r="E8" s="103"/>
      <c r="F8" s="103"/>
    </row>
    <row r="9" spans="1:8" ht="15.75">
      <c r="A9" s="103" t="s">
        <v>99</v>
      </c>
      <c r="B9" s="103"/>
      <c r="C9" s="103"/>
      <c r="D9" s="103"/>
      <c r="E9" s="103"/>
      <c r="F9" s="104">
        <v>16</v>
      </c>
      <c r="H9" s="117" t="s">
        <v>100</v>
      </c>
    </row>
    <row r="10" spans="1:6" ht="15.75">
      <c r="A10" s="103"/>
      <c r="B10" s="103"/>
      <c r="C10" s="103"/>
      <c r="D10" s="103"/>
      <c r="E10" s="103"/>
      <c r="F10" s="103"/>
    </row>
    <row r="11" spans="1:8" ht="15.75">
      <c r="A11" s="103" t="s">
        <v>101</v>
      </c>
      <c r="B11" s="103"/>
      <c r="C11" s="103"/>
      <c r="D11" s="103"/>
      <c r="E11" s="103"/>
      <c r="F11" s="104">
        <v>160</v>
      </c>
      <c r="H11" s="1" t="s">
        <v>102</v>
      </c>
    </row>
    <row r="12" spans="1:9" ht="20.25">
      <c r="A12" s="103"/>
      <c r="B12" s="103"/>
      <c r="C12" s="103"/>
      <c r="D12" s="103"/>
      <c r="E12" s="103"/>
      <c r="F12" s="103"/>
      <c r="I12" s="54">
        <f>+F9</f>
        <v>16</v>
      </c>
    </row>
    <row r="13" spans="1:8" ht="15.75">
      <c r="A13" s="103" t="s">
        <v>103</v>
      </c>
      <c r="B13" s="103"/>
      <c r="C13" s="103"/>
      <c r="D13" s="103"/>
      <c r="E13" s="103"/>
      <c r="F13" s="104">
        <v>0.35</v>
      </c>
      <c r="H13" s="105" t="s">
        <v>104</v>
      </c>
    </row>
    <row r="14" spans="2:10" ht="20.25">
      <c r="B14" s="103"/>
      <c r="C14" s="103"/>
      <c r="D14" s="103"/>
      <c r="E14" s="103"/>
      <c r="F14" s="15" t="str">
        <f>+IF(F13&gt;1,"F13 must be less than 1"," ")</f>
        <v> </v>
      </c>
      <c r="J14" s="54">
        <f>+F7</f>
        <v>12</v>
      </c>
    </row>
    <row r="15" spans="1:8" ht="15.75">
      <c r="A15" s="103" t="s">
        <v>105</v>
      </c>
      <c r="B15" s="103"/>
      <c r="C15" s="103"/>
      <c r="D15" s="103"/>
      <c r="E15" s="103"/>
      <c r="F15" s="104">
        <v>6</v>
      </c>
      <c r="H15" s="1" t="s">
        <v>106</v>
      </c>
    </row>
    <row r="16" spans="1:6" ht="15.75">
      <c r="A16" s="103"/>
      <c r="B16" s="103"/>
      <c r="C16" s="103"/>
      <c r="D16" s="103"/>
      <c r="E16" s="103"/>
      <c r="F16" s="15" t="str">
        <f>+IF(F15&gt;24,"Consider a thinner layer in cell F15"," ")</f>
        <v> </v>
      </c>
    </row>
    <row r="17" spans="1:8" ht="15.75">
      <c r="A17" s="103" t="s">
        <v>107</v>
      </c>
      <c r="B17" s="103"/>
      <c r="C17" s="103"/>
      <c r="D17" s="103"/>
      <c r="E17" s="103" t="s">
        <v>108</v>
      </c>
      <c r="F17" s="103"/>
      <c r="H17" s="103" t="s">
        <v>109</v>
      </c>
    </row>
    <row r="18" spans="1:15" ht="15.75">
      <c r="A18" s="106" t="s">
        <v>110</v>
      </c>
      <c r="B18" s="103"/>
      <c r="C18" s="103"/>
      <c r="D18" s="103"/>
      <c r="E18" s="103"/>
      <c r="F18" s="103"/>
      <c r="H18" s="103"/>
      <c r="I18" s="19"/>
      <c r="J18" s="19"/>
      <c r="K18" s="19"/>
      <c r="L18" s="19"/>
      <c r="M18" s="19"/>
      <c r="N18" s="19"/>
      <c r="O18" s="19"/>
    </row>
    <row r="19" spans="1:15" ht="15.75">
      <c r="A19" s="103" t="s">
        <v>2</v>
      </c>
      <c r="B19" s="103"/>
      <c r="C19" s="16" t="s">
        <v>111</v>
      </c>
      <c r="D19" s="103"/>
      <c r="E19" s="103"/>
      <c r="F19" s="107">
        <v>40000</v>
      </c>
      <c r="G19" s="21">
        <f>IF(F19&gt;0,H19,0)</f>
        <v>100</v>
      </c>
      <c r="H19" s="108">
        <v>100</v>
      </c>
      <c r="I19" s="50" t="str">
        <f>IF(AND(F19&gt;0,H19&lt;1),"Error in Cell F19 or H19",IF(AND(F19&lt;1,H19&gt;0),"Error in Cell F19 or H19"," "))</f>
        <v> </v>
      </c>
      <c r="J19" s="19"/>
      <c r="K19" s="19"/>
      <c r="L19" s="19"/>
      <c r="M19" s="19"/>
      <c r="N19" s="19"/>
      <c r="O19" s="19"/>
    </row>
    <row r="20" spans="1:15" ht="15.75">
      <c r="A20" s="103" t="s">
        <v>3</v>
      </c>
      <c r="B20" s="103"/>
      <c r="C20" s="16" t="s">
        <v>111</v>
      </c>
      <c r="D20" s="103"/>
      <c r="E20" s="103"/>
      <c r="F20" s="107">
        <v>40000</v>
      </c>
      <c r="G20" s="21">
        <f>IF(F20&gt;0,H20,0)</f>
        <v>100</v>
      </c>
      <c r="H20" s="108">
        <v>100</v>
      </c>
      <c r="I20" s="50" t="str">
        <f>IF(AND(F20&gt;0,H20&lt;1),"Error in Cell F20 or H20",IF(AND(F20&lt;1,H20&gt;0),"Error in Cell F20 or H20"," "))</f>
        <v> </v>
      </c>
      <c r="J20" s="19"/>
      <c r="K20" s="19"/>
      <c r="L20" s="19"/>
      <c r="M20" s="19"/>
      <c r="N20" s="19"/>
      <c r="O20" s="19"/>
    </row>
    <row r="21" spans="1:15" ht="15.75">
      <c r="A21" s="103" t="s">
        <v>4</v>
      </c>
      <c r="B21" s="103"/>
      <c r="C21" s="16" t="s">
        <v>111</v>
      </c>
      <c r="D21" s="103"/>
      <c r="E21" s="103"/>
      <c r="F21" s="107">
        <v>0</v>
      </c>
      <c r="G21" s="21">
        <f>IF(F21&gt;0,H21,0)</f>
        <v>0</v>
      </c>
      <c r="H21" s="108">
        <v>0</v>
      </c>
      <c r="I21" s="50" t="str">
        <f>IF(AND(F21&gt;0,H21&lt;1),"Error in Cell F21 or H21",IF(AND(F21&lt;1,H21&gt;0),"Error in Cell F21 or H21"," "))</f>
        <v> </v>
      </c>
      <c r="J21" s="19"/>
      <c r="K21" s="19"/>
      <c r="L21" s="19"/>
      <c r="M21" s="19"/>
      <c r="N21" s="19"/>
      <c r="O21" s="19"/>
    </row>
    <row r="22" spans="1:15" ht="15.75">
      <c r="A22" s="103" t="s">
        <v>5</v>
      </c>
      <c r="B22" s="103"/>
      <c r="C22" s="16" t="s">
        <v>111</v>
      </c>
      <c r="D22" s="103"/>
      <c r="E22" s="103"/>
      <c r="F22" s="107">
        <v>0</v>
      </c>
      <c r="G22" s="21">
        <f>IF(F22&gt;0,H22,0)</f>
        <v>0</v>
      </c>
      <c r="H22" s="108">
        <v>0</v>
      </c>
      <c r="I22" s="50" t="str">
        <f>IF(AND(F22&gt;0,H22&lt;1),"Error in Cell F22 or H22",IF(AND(F22&lt;1,H22&gt;0),"Error in Cell F22 or H22"," "))</f>
        <v> </v>
      </c>
      <c r="J22" s="19"/>
      <c r="K22" s="19"/>
      <c r="L22" s="19"/>
      <c r="M22" s="19"/>
      <c r="N22" s="19"/>
      <c r="O22" s="19"/>
    </row>
    <row r="23" spans="1:15" ht="15.75">
      <c r="A23" s="103" t="s">
        <v>112</v>
      </c>
      <c r="C23" s="103"/>
      <c r="D23" s="103"/>
      <c r="E23" s="103"/>
      <c r="F23" s="109">
        <f>+F19*H19/100+F20*H20/100+F21*H21/100+F22*H22/100</f>
        <v>80000</v>
      </c>
      <c r="I23" s="19"/>
      <c r="J23" s="19"/>
      <c r="K23" s="19"/>
      <c r="L23" s="19"/>
      <c r="M23" s="110"/>
      <c r="N23" s="110"/>
      <c r="O23" s="19"/>
    </row>
    <row r="24" spans="1:15" ht="15.75">
      <c r="A24" s="103" t="s">
        <v>113</v>
      </c>
      <c r="B24" s="103"/>
      <c r="C24" s="103"/>
      <c r="D24" s="103"/>
      <c r="E24" s="103"/>
      <c r="F24" s="111">
        <f>+(+F7+F9)/2</f>
        <v>14</v>
      </c>
      <c r="H24" s="61" t="s">
        <v>114</v>
      </c>
      <c r="J24" s="19"/>
      <c r="K24" s="19"/>
      <c r="L24" s="19"/>
      <c r="M24" s="19"/>
      <c r="N24" s="19"/>
      <c r="O24" s="19"/>
    </row>
    <row r="25" spans="1:15" ht="15.75">
      <c r="A25" s="103"/>
      <c r="B25" s="103"/>
      <c r="C25" s="103"/>
      <c r="D25" s="103"/>
      <c r="E25" s="103"/>
      <c r="F25" s="112"/>
      <c r="I25" s="110"/>
      <c r="J25" s="19"/>
      <c r="K25" s="19"/>
      <c r="L25" s="19"/>
      <c r="M25" s="19"/>
      <c r="N25" s="113"/>
      <c r="O25" s="19"/>
    </row>
    <row r="26" spans="2:15" ht="15.75">
      <c r="B26" s="103"/>
      <c r="C26" s="103"/>
      <c r="D26" s="103"/>
      <c r="E26" s="103"/>
      <c r="I26" s="22"/>
      <c r="J26" s="19"/>
      <c r="K26" s="19"/>
      <c r="L26" s="19"/>
      <c r="M26" s="19"/>
      <c r="N26" s="75"/>
      <c r="O26" s="19"/>
    </row>
    <row r="27" spans="1:15" ht="15.75">
      <c r="A27" s="106" t="s">
        <v>68</v>
      </c>
      <c r="B27" s="103"/>
      <c r="C27" s="103"/>
      <c r="D27" s="103"/>
      <c r="E27" s="103"/>
      <c r="F27" s="103"/>
      <c r="J27" s="19"/>
      <c r="K27" s="19"/>
      <c r="L27" s="19"/>
      <c r="M27" s="19"/>
      <c r="N27" s="75"/>
      <c r="O27" s="19"/>
    </row>
    <row r="28" spans="4:8" ht="15.75">
      <c r="D28" s="114" t="s">
        <v>115</v>
      </c>
      <c r="E28" s="114"/>
      <c r="F28" s="115">
        <f>+MAX(K32:N35)</f>
        <v>440.9585518440985</v>
      </c>
      <c r="H28" s="12" t="s">
        <v>116</v>
      </c>
    </row>
    <row r="29" spans="1:8" ht="15.75">
      <c r="A29" s="114" t="s">
        <v>117</v>
      </c>
      <c r="B29" s="12"/>
      <c r="C29" s="12"/>
      <c r="D29" s="12"/>
      <c r="E29" s="12"/>
      <c r="F29" s="115">
        <f>F35/F13</f>
        <v>44.18191530581037</v>
      </c>
      <c r="H29" s="4" t="s">
        <v>118</v>
      </c>
    </row>
    <row r="30" spans="1:14" ht="15.75">
      <c r="A30" s="114" t="s">
        <v>119</v>
      </c>
      <c r="B30" s="12"/>
      <c r="C30" s="12"/>
      <c r="D30" s="12"/>
      <c r="E30" s="12"/>
      <c r="F30" s="115">
        <f>F13*93.6+(1-F13)*62.4</f>
        <v>73.32</v>
      </c>
      <c r="H30" s="4" t="s">
        <v>120</v>
      </c>
      <c r="I30" s="2"/>
      <c r="J30" s="19"/>
      <c r="K30" s="19"/>
      <c r="L30" s="70" t="s">
        <v>73</v>
      </c>
      <c r="M30" s="23"/>
      <c r="N30" s="19"/>
    </row>
    <row r="31" spans="10:18" ht="12.75">
      <c r="J31" s="23" t="s">
        <v>69</v>
      </c>
      <c r="K31" s="23">
        <v>19</v>
      </c>
      <c r="L31" s="23">
        <v>20</v>
      </c>
      <c r="M31" s="23">
        <v>21</v>
      </c>
      <c r="N31" s="23">
        <v>22</v>
      </c>
      <c r="O31" s="25"/>
      <c r="P31" s="25"/>
      <c r="Q31" s="25"/>
      <c r="R31" s="25"/>
    </row>
    <row r="32" spans="2:18" ht="15.75">
      <c r="B32" s="19"/>
      <c r="C32" s="19"/>
      <c r="D32" s="19"/>
      <c r="E32" s="114" t="s">
        <v>121</v>
      </c>
      <c r="F32" s="116">
        <f>1-(F29/F30)</f>
        <v>0.39740977487983664</v>
      </c>
      <c r="H32" s="4" t="s">
        <v>122</v>
      </c>
      <c r="J32" s="23">
        <v>19</v>
      </c>
      <c r="K32" s="24">
        <f>+($F$19/$F$15)*($F$13*$G$19/$F$11/100)^0.5</f>
        <v>311.8047822311618</v>
      </c>
      <c r="L32" s="24">
        <f>+(($F$19*$G$19+$F$20*$G$20)/IF($G$19+$G$20,$G$19+$G$20,1)/$F$15)*($F$13*SUM($G$19:$G$20)/$F$11/100)^0.5</f>
        <v>440.9585518440985</v>
      </c>
      <c r="M32" s="24">
        <f>+(($F$19*$G$19+$F$20*$G$20+$F$21*$G$21)/IF($G$19+$G$20+$G$21,$G$19+$G$20+$G$21,1)/$F$15)*($F$13*SUM($G$19:$G$21)/$F$11/100)^0.5</f>
        <v>440.9585518440985</v>
      </c>
      <c r="N32" s="24">
        <f>+(($F$19*$G$19+$F$20*$G$20+$F$21*$G$21+$F$22*$G$22)/IF(SUM($G$19:$G$22),SUM($G$19:$G$22),1)/$F$15)*($F$13*SUM($G$19:$G$22)/$F$11/100)^0.5</f>
        <v>440.9585518440985</v>
      </c>
      <c r="O32" s="25"/>
      <c r="P32" s="25"/>
      <c r="Q32" s="25"/>
      <c r="R32" s="25"/>
    </row>
    <row r="33" spans="10:18" ht="15.75">
      <c r="J33" s="23">
        <v>20</v>
      </c>
      <c r="K33" s="24"/>
      <c r="L33" s="24">
        <f>+($F$20/$F$15)*($F$13*$G$20/$F$11/100)^0.5</f>
        <v>311.8047822311618</v>
      </c>
      <c r="M33" s="24">
        <f>+(($F$20*$G$20+$F$21*$G$21)/IF($G$20+$G$21,$G$20+$G$21,1)/$F$15)*($F$13*SUM($G$20:$G$21)/$F$11/100)^0.5</f>
        <v>311.8047822311618</v>
      </c>
      <c r="N33" s="24">
        <f>+(($F$20*$G$20+$F$21*$G$21+$F$22*$G$22)/IF(SUM($G$20:$G$22),SUM($G$20:$G$22),1)/$F$15)*($F$13*SUM($G$20:$G$22)/$F$11/100)^0.5</f>
        <v>311.8047822311618</v>
      </c>
      <c r="O33" s="25"/>
      <c r="P33" s="25"/>
      <c r="Q33" s="25"/>
      <c r="R33" s="25"/>
    </row>
    <row r="34" spans="10:18" ht="15.75">
      <c r="J34" s="23">
        <v>21</v>
      </c>
      <c r="K34" s="24">
        <f>+(($F$19*$G$19+$F$21*$G21)/IF($G$19+$G21,$G$19+$G21,1)/$F$15)*($F$13*SUM($G$19,$G21)/$F$11/100)^0.5</f>
        <v>311.8047822311618</v>
      </c>
      <c r="L34" s="24"/>
      <c r="M34" s="24">
        <f>+($F$21/$F$15)*(($F$13*$G$21)/$F$11/100)^0.5</f>
        <v>0</v>
      </c>
      <c r="N34" s="24">
        <f>+(($F$21*$G$21+$F$22*$G$22)/IF($G$21+$G$22,$G$21+$G$22,1)/$F$15)*($F$13*SUM($G$21:$G$22)/$F$11/100)^0.5</f>
        <v>0</v>
      </c>
      <c r="O34" s="25"/>
      <c r="P34" s="25"/>
      <c r="Q34" s="25"/>
      <c r="R34" s="25"/>
    </row>
    <row r="35" spans="1:18" ht="15.75">
      <c r="A35" s="114" t="s">
        <v>123</v>
      </c>
      <c r="B35" s="114"/>
      <c r="C35" s="114"/>
      <c r="D35" s="114"/>
      <c r="E35" s="114"/>
      <c r="F35" s="115">
        <f>+IF(F36&lt;J37,F36,J37)</f>
        <v>15.463670357033628</v>
      </c>
      <c r="H35" s="4" t="s">
        <v>124</v>
      </c>
      <c r="J35" s="23">
        <v>22</v>
      </c>
      <c r="K35" s="24">
        <f>+(($F$19*$G$19+$F$22*$G$22)/IF($G$19+$G$22,$G$19+$G$22,1)/$F$15)*($F$13*SUM($G$19,$G$22)/$F$11/100)^0.5</f>
        <v>311.8047822311618</v>
      </c>
      <c r="L35" s="24">
        <f>+(($F$20*$G$20+$F$22*$G$22)/IF($G$20+$G$22,$G$20+$G$22,1)/$F$15)*($F$13*SUM($G$20,$G$22)/$F$11/100)^0.5</f>
        <v>311.8047822311618</v>
      </c>
      <c r="M35" s="24">
        <f>+(($F$19*$G$19+$F$21*$G$21+$F$22*$G$22)/IF($G$19+$G$21+$G$22,$G$19+$G$21+$G$22,1)/$F$15)*($F$13*SUM($G$19,$G$21:$G$22)/$F$11/100)^0.5</f>
        <v>311.8047822311618</v>
      </c>
      <c r="N35" s="24">
        <f>+($F$22/$F$15)*($F$13*$G$22/$F$11/100)^0.5</f>
        <v>0</v>
      </c>
      <c r="O35" s="25"/>
      <c r="P35" s="25"/>
      <c r="Q35" s="25"/>
      <c r="R35" s="25"/>
    </row>
    <row r="36" spans="1:18" ht="15.75">
      <c r="A36" s="114" t="s">
        <v>125</v>
      </c>
      <c r="B36" s="12"/>
      <c r="C36" s="12"/>
      <c r="D36" s="12"/>
      <c r="E36" s="12"/>
      <c r="F36" s="115">
        <f>+F13*(F13*93.6+(1-F13)*62.4)</f>
        <v>25.661999999999995</v>
      </c>
      <c r="H36" s="4" t="s">
        <v>126</v>
      </c>
      <c r="J36" s="23" t="s">
        <v>74</v>
      </c>
      <c r="K36" s="72"/>
      <c r="L36" s="72"/>
      <c r="M36" s="72"/>
      <c r="N36" s="72"/>
      <c r="O36" s="25"/>
      <c r="P36" s="25"/>
      <c r="Q36" s="25"/>
      <c r="R36" s="25"/>
    </row>
    <row r="37" spans="10:18" ht="12.75">
      <c r="J37" s="73">
        <f>(+F28*0.0155+8.5)*(0.818+0.0136*F24)</f>
        <v>15.463670357033628</v>
      </c>
      <c r="K37" s="72"/>
      <c r="L37" s="72"/>
      <c r="M37" s="72"/>
      <c r="N37" s="72"/>
      <c r="O37" s="25"/>
      <c r="P37" s="25"/>
      <c r="Q37" s="25"/>
      <c r="R37" s="25"/>
    </row>
    <row r="40" spans="1:3" ht="15.75">
      <c r="A40" s="103"/>
      <c r="B40" s="103"/>
      <c r="C40" s="103"/>
    </row>
    <row r="43" ht="12.75">
      <c r="A43" s="11">
        <f>+IF(F35=F36,"Estimated DM Density controlled by Maximum Achievable Density","")</f>
      </c>
    </row>
  </sheetData>
  <sheetProtection sheet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zoomScalePageLayoutView="0" workbookViewId="0" topLeftCell="A1">
      <selection activeCell="I16" sqref="I16"/>
    </sheetView>
  </sheetViews>
  <sheetFormatPr defaultColWidth="9.140625" defaultRowHeight="12.75"/>
  <cols>
    <col min="5" max="5" width="22.7109375" style="0" customWidth="1"/>
    <col min="7" max="7" width="3.7109375" style="0" customWidth="1"/>
    <col min="8" max="8" width="48.7109375" style="0" customWidth="1"/>
    <col min="9" max="9" width="17.140625" style="0" customWidth="1"/>
    <col min="10" max="10" width="9.28125" style="0" customWidth="1"/>
    <col min="11" max="11" width="16.421875" style="0" customWidth="1"/>
    <col min="12" max="12" width="9.5742187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5" t="s">
        <v>22</v>
      </c>
      <c r="I1" s="1"/>
    </row>
    <row r="2" spans="1:9" ht="15.75">
      <c r="A2" s="1"/>
      <c r="B2" s="1"/>
      <c r="C2" s="1"/>
      <c r="D2" s="1"/>
      <c r="E2" s="1"/>
      <c r="F2" s="1"/>
      <c r="G2" s="1"/>
      <c r="H2" s="5" t="s">
        <v>23</v>
      </c>
      <c r="I2" s="1"/>
    </row>
    <row r="3" spans="1:9" ht="12.75">
      <c r="A3" s="1"/>
      <c r="B3" s="1"/>
      <c r="C3" s="1"/>
      <c r="D3" s="1"/>
      <c r="E3" s="1"/>
      <c r="F3" s="1"/>
      <c r="G3" s="1"/>
      <c r="H3" s="2" t="s">
        <v>13</v>
      </c>
      <c r="I3" s="1"/>
    </row>
    <row r="4" spans="1:9" ht="12.75">
      <c r="A4" s="1"/>
      <c r="B4" s="1"/>
      <c r="C4" s="1"/>
      <c r="D4" s="1"/>
      <c r="E4" s="1"/>
      <c r="F4" s="1"/>
      <c r="G4" s="1"/>
      <c r="H4" s="2" t="s">
        <v>32</v>
      </c>
      <c r="I4" s="1"/>
    </row>
    <row r="5" spans="1:9" ht="12.75">
      <c r="A5" s="1"/>
      <c r="B5" s="1"/>
      <c r="C5" s="1"/>
      <c r="D5" s="1"/>
      <c r="E5" s="1"/>
      <c r="F5" s="1"/>
      <c r="G5" s="1"/>
      <c r="H5" s="2" t="s">
        <v>31</v>
      </c>
      <c r="I5" s="1"/>
    </row>
    <row r="6" spans="1:9" ht="12.75">
      <c r="A6" s="1"/>
      <c r="B6" s="1"/>
      <c r="C6" s="1"/>
      <c r="D6" s="1"/>
      <c r="E6" s="1"/>
      <c r="F6" s="1"/>
      <c r="G6" s="1"/>
      <c r="H6" s="2" t="s">
        <v>0</v>
      </c>
      <c r="I6" s="1"/>
    </row>
    <row r="7" spans="1:9" ht="15.75">
      <c r="A7" s="6" t="s">
        <v>66</v>
      </c>
      <c r="B7" s="6"/>
      <c r="C7" s="6"/>
      <c r="D7" s="6"/>
      <c r="E7" s="6"/>
      <c r="F7" s="63">
        <v>3.66</v>
      </c>
      <c r="G7" s="1"/>
      <c r="H7" s="3">
        <v>39317</v>
      </c>
      <c r="I7" s="1"/>
    </row>
    <row r="8" spans="1:9" ht="15.75">
      <c r="A8" s="6"/>
      <c r="B8" s="6"/>
      <c r="C8" s="6"/>
      <c r="D8" s="6"/>
      <c r="E8" s="6"/>
      <c r="F8" s="6"/>
      <c r="G8" s="1"/>
      <c r="H8" s="1"/>
      <c r="I8" s="1"/>
    </row>
    <row r="9" spans="1:9" ht="15.75">
      <c r="A9" s="6" t="s">
        <v>17</v>
      </c>
      <c r="B9" s="6"/>
      <c r="C9" s="6"/>
      <c r="D9" s="6"/>
      <c r="E9" s="6"/>
      <c r="F9" s="63">
        <v>4.88</v>
      </c>
      <c r="G9" s="1"/>
      <c r="H9" s="1" t="s">
        <v>9</v>
      </c>
      <c r="I9" s="1"/>
    </row>
    <row r="10" spans="1:9" ht="15.75">
      <c r="A10" s="6"/>
      <c r="B10" s="6"/>
      <c r="C10" s="6"/>
      <c r="D10" s="6"/>
      <c r="E10" s="6"/>
      <c r="F10" s="6"/>
      <c r="G10" s="1"/>
      <c r="H10" s="1"/>
      <c r="I10" s="1"/>
    </row>
    <row r="11" spans="1:9" ht="15.75">
      <c r="A11" s="6" t="s">
        <v>27</v>
      </c>
      <c r="B11" s="6"/>
      <c r="C11" s="6"/>
      <c r="D11" s="6"/>
      <c r="E11" s="6"/>
      <c r="F11" s="63">
        <v>145.1</v>
      </c>
      <c r="G11" s="1"/>
      <c r="H11" s="1" t="s">
        <v>30</v>
      </c>
      <c r="I11" s="1"/>
    </row>
    <row r="12" spans="1:10" ht="20.25">
      <c r="A12" s="6"/>
      <c r="B12" s="6"/>
      <c r="C12" s="6"/>
      <c r="D12" s="6"/>
      <c r="E12" s="6"/>
      <c r="F12" s="6"/>
      <c r="G12" s="1"/>
      <c r="H12" s="1"/>
      <c r="I12" s="1"/>
      <c r="J12" s="55">
        <f>+F9</f>
        <v>4.88</v>
      </c>
    </row>
    <row r="13" spans="1:9" ht="15.75">
      <c r="A13" s="6" t="s">
        <v>25</v>
      </c>
      <c r="B13" s="6"/>
      <c r="C13" s="6"/>
      <c r="D13" s="6"/>
      <c r="E13" s="6"/>
      <c r="F13" s="63">
        <v>0.35</v>
      </c>
      <c r="G13" s="1"/>
      <c r="H13" s="14" t="s">
        <v>28</v>
      </c>
      <c r="I13" s="1"/>
    </row>
    <row r="14" spans="2:11" ht="20.25">
      <c r="B14" s="6"/>
      <c r="C14" s="6"/>
      <c r="D14" s="6"/>
      <c r="E14" s="6"/>
      <c r="F14" s="15" t="str">
        <f>+IF(F13&gt;1,"F13 must be less than 1"," ")</f>
        <v> </v>
      </c>
      <c r="G14" s="1"/>
      <c r="H14" s="1"/>
      <c r="I14" s="1"/>
      <c r="K14" s="55">
        <f>+F7</f>
        <v>3.66</v>
      </c>
    </row>
    <row r="15" spans="1:9" ht="15.75">
      <c r="A15" s="6" t="s">
        <v>21</v>
      </c>
      <c r="B15" s="6"/>
      <c r="C15" s="6"/>
      <c r="D15" s="6"/>
      <c r="E15" s="6"/>
      <c r="F15" s="63">
        <v>15.24</v>
      </c>
      <c r="G15" s="1"/>
      <c r="H15" s="1" t="s">
        <v>38</v>
      </c>
      <c r="I15" s="1"/>
    </row>
    <row r="16" spans="1:9" ht="15.75">
      <c r="A16" s="6"/>
      <c r="B16" s="6"/>
      <c r="C16" s="6"/>
      <c r="D16" s="6"/>
      <c r="E16" s="6"/>
      <c r="F16" s="15" t="str">
        <f>+IF(F15&gt;60,"Consider a thinner layer in cell F15"," ")</f>
        <v> </v>
      </c>
      <c r="G16" s="1"/>
      <c r="H16" s="1"/>
      <c r="I16" s="1"/>
    </row>
    <row r="17" spans="1:9" ht="15.75">
      <c r="A17" s="6" t="s">
        <v>12</v>
      </c>
      <c r="B17" s="6"/>
      <c r="C17" s="6"/>
      <c r="D17" s="6"/>
      <c r="E17" s="6" t="s">
        <v>18</v>
      </c>
      <c r="F17" s="6"/>
      <c r="G17" s="1"/>
      <c r="H17" s="6" t="s">
        <v>14</v>
      </c>
      <c r="I17" s="1"/>
    </row>
    <row r="18" spans="1:12" ht="15.75">
      <c r="A18" s="7" t="s">
        <v>41</v>
      </c>
      <c r="B18" s="6"/>
      <c r="C18" s="6"/>
      <c r="D18" s="6"/>
      <c r="E18" s="6"/>
      <c r="F18" s="6"/>
      <c r="G18" s="1"/>
      <c r="H18" s="6"/>
      <c r="I18" s="19"/>
      <c r="K18" s="20"/>
      <c r="L18" s="20"/>
    </row>
    <row r="19" spans="1:12" ht="15.75">
      <c r="A19" s="6" t="s">
        <v>2</v>
      </c>
      <c r="B19" s="6"/>
      <c r="C19" s="16" t="s">
        <v>42</v>
      </c>
      <c r="D19" s="6"/>
      <c r="E19" s="6"/>
      <c r="F19" s="64">
        <v>18144</v>
      </c>
      <c r="G19" s="21">
        <f>IF(F19&gt;0,H19,0)</f>
        <v>100</v>
      </c>
      <c r="H19" s="66">
        <v>100</v>
      </c>
      <c r="I19" s="50" t="str">
        <f>IF(AND(F19&gt;0,H19&lt;1),"Error in Cell F19 or H19",IF(AND(F19&lt;1,H19&gt;0),"Error in Cell F19 or H19"," "))</f>
        <v> </v>
      </c>
      <c r="J19" s="18"/>
      <c r="K19" s="18"/>
      <c r="L19" s="18"/>
    </row>
    <row r="20" spans="1:13" ht="15.75">
      <c r="A20" s="6" t="s">
        <v>3</v>
      </c>
      <c r="B20" s="6"/>
      <c r="C20" s="16" t="s">
        <v>42</v>
      </c>
      <c r="D20" s="6"/>
      <c r="E20" s="6"/>
      <c r="F20" s="63">
        <v>18144</v>
      </c>
      <c r="G20" s="21">
        <f>IF(F20&gt;0,H20,0)</f>
        <v>100</v>
      </c>
      <c r="H20" s="66">
        <v>100</v>
      </c>
      <c r="I20" s="50" t="str">
        <f>IF(AND(F20&gt;0,H20&lt;1),"Error in Cell F20 or H20",IF(AND(F20&lt;1,H20&gt;0),"Error in Cell F20 or H20"," "))</f>
        <v> </v>
      </c>
      <c r="J20" s="18"/>
      <c r="K20" s="18"/>
      <c r="L20" s="18"/>
      <c r="M20" s="20"/>
    </row>
    <row r="21" spans="1:13" ht="15.75">
      <c r="A21" s="6" t="s">
        <v>4</v>
      </c>
      <c r="B21" s="6"/>
      <c r="C21" s="16" t="s">
        <v>42</v>
      </c>
      <c r="D21" s="6"/>
      <c r="E21" s="6"/>
      <c r="F21" s="65">
        <v>0</v>
      </c>
      <c r="G21" s="21">
        <f>IF(F21&gt;0,H21,0)</f>
        <v>0</v>
      </c>
      <c r="H21" s="66">
        <v>0</v>
      </c>
      <c r="I21" s="50" t="str">
        <f>IF(AND(F21&gt;0,H21&lt;1),"Error in Cell F21 or H21",IF(AND(F21&lt;1,H21&gt;0),"Error in Cell F21 or H21"," "))</f>
        <v> </v>
      </c>
      <c r="J21" s="18"/>
      <c r="K21" s="18"/>
      <c r="L21" s="18"/>
      <c r="M21" s="20"/>
    </row>
    <row r="22" spans="1:13" ht="15.75">
      <c r="A22" s="6" t="s">
        <v>5</v>
      </c>
      <c r="B22" s="6"/>
      <c r="C22" s="16" t="s">
        <v>42</v>
      </c>
      <c r="D22" s="6"/>
      <c r="E22" s="6"/>
      <c r="F22" s="63">
        <v>0</v>
      </c>
      <c r="G22" s="21">
        <f>IF(F22&gt;0,H22,0)</f>
        <v>0</v>
      </c>
      <c r="H22" s="66">
        <v>0</v>
      </c>
      <c r="I22" s="50" t="str">
        <f>IF(AND(F22&gt;0,H22&lt;1),"Error in Cell F22 or H22",IF(AND(F22&lt;1,H22&gt;0),"Error in Cell F22 or H22"," "))</f>
        <v> </v>
      </c>
      <c r="J22" s="18"/>
      <c r="K22" s="18"/>
      <c r="L22" s="26"/>
      <c r="M22" s="20"/>
    </row>
    <row r="23" spans="1:13" ht="15.75">
      <c r="A23" s="6" t="s">
        <v>33</v>
      </c>
      <c r="C23" s="6"/>
      <c r="D23" s="6"/>
      <c r="E23" s="6"/>
      <c r="F23" s="8">
        <f>+F19*H19/100+F20*H20/100+F21*H21/100+F22*H22/100</f>
        <v>36288</v>
      </c>
      <c r="G23" s="1"/>
      <c r="H23" s="1"/>
      <c r="I23" s="19"/>
      <c r="J23" s="26"/>
      <c r="K23" s="18"/>
      <c r="L23" s="26"/>
      <c r="M23" s="20"/>
    </row>
    <row r="24" spans="1:13" ht="15.75">
      <c r="A24" s="6" t="s">
        <v>19</v>
      </c>
      <c r="B24" s="6"/>
      <c r="C24" s="6"/>
      <c r="D24" s="6"/>
      <c r="E24" s="6"/>
      <c r="F24" s="9">
        <f>+(+F7+F9)/2</f>
        <v>4.27</v>
      </c>
      <c r="G24" s="1"/>
      <c r="H24" s="61" t="s">
        <v>15</v>
      </c>
      <c r="I24" s="1"/>
      <c r="J24" s="26"/>
      <c r="K24" s="18"/>
      <c r="L24" s="26"/>
      <c r="M24" s="20"/>
    </row>
    <row r="25" spans="1:12" ht="15.75">
      <c r="A25" s="6"/>
      <c r="B25" s="6"/>
      <c r="C25" s="6"/>
      <c r="D25" s="6"/>
      <c r="E25" s="6"/>
      <c r="F25" s="62"/>
      <c r="G25" s="1"/>
      <c r="I25" s="1"/>
      <c r="J25" s="26"/>
      <c r="K25" s="26"/>
      <c r="L25" s="26"/>
    </row>
    <row r="26" spans="7:9" ht="12.75">
      <c r="G26" s="1"/>
      <c r="H26" s="1"/>
      <c r="I26" s="1"/>
    </row>
    <row r="27" spans="1:9" ht="15.75">
      <c r="A27" s="7" t="s">
        <v>68</v>
      </c>
      <c r="B27" s="6"/>
      <c r="C27" s="6"/>
      <c r="D27" s="6"/>
      <c r="E27" s="6"/>
      <c r="F27" s="6"/>
      <c r="G27" s="1"/>
      <c r="H27" s="1"/>
      <c r="I27" s="1"/>
    </row>
    <row r="28" spans="1:14" ht="15.75">
      <c r="A28" s="6"/>
      <c r="B28" s="6"/>
      <c r="C28" s="6"/>
      <c r="D28" s="10" t="s">
        <v>6</v>
      </c>
      <c r="E28" s="10"/>
      <c r="F28" s="49">
        <f>+MAX(K32:N35)</f>
        <v>2614.9499685899414</v>
      </c>
      <c r="G28" s="1"/>
      <c r="H28" s="12" t="s">
        <v>10</v>
      </c>
      <c r="I28" s="1"/>
      <c r="K28" s="17"/>
      <c r="L28" s="26"/>
      <c r="M28" s="26"/>
      <c r="N28" s="26"/>
    </row>
    <row r="29" spans="1:12" ht="15.75">
      <c r="A29" s="10" t="s">
        <v>81</v>
      </c>
      <c r="B29" s="12"/>
      <c r="C29" s="12"/>
      <c r="D29" s="12"/>
      <c r="E29" s="12"/>
      <c r="F29" s="49">
        <f>F35/F13</f>
        <v>709.1591725755447</v>
      </c>
      <c r="G29" s="1"/>
      <c r="H29" s="4" t="s">
        <v>83</v>
      </c>
      <c r="I29" s="19"/>
      <c r="J29" s="26"/>
      <c r="K29" s="26"/>
      <c r="L29" s="26"/>
    </row>
    <row r="30" spans="1:12" ht="15.75">
      <c r="A30" s="10" t="s">
        <v>82</v>
      </c>
      <c r="B30" s="12"/>
      <c r="C30" s="12"/>
      <c r="D30" s="12"/>
      <c r="E30" s="12"/>
      <c r="F30" s="49">
        <f>F13*1499.47+(1-F13)*999.65</f>
        <v>1174.587</v>
      </c>
      <c r="G30" s="1"/>
      <c r="H30" s="4" t="s">
        <v>77</v>
      </c>
      <c r="I30" s="27"/>
      <c r="J30" s="26"/>
      <c r="K30" s="26"/>
      <c r="L30" s="26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23"/>
      <c r="K31" s="23">
        <v>19</v>
      </c>
      <c r="L31" s="23">
        <v>20</v>
      </c>
      <c r="M31" s="23">
        <v>21</v>
      </c>
      <c r="N31" s="23">
        <v>22</v>
      </c>
    </row>
    <row r="32" spans="1:14" ht="15.75">
      <c r="A32" s="1"/>
      <c r="B32" s="19"/>
      <c r="C32" s="19"/>
      <c r="D32" s="19"/>
      <c r="E32" s="10" t="s">
        <v>78</v>
      </c>
      <c r="F32" s="67">
        <f>1-(F29/F30)</f>
        <v>0.39624806627730025</v>
      </c>
      <c r="G32" s="1"/>
      <c r="H32" s="4" t="s">
        <v>79</v>
      </c>
      <c r="I32" s="1"/>
      <c r="J32" s="23">
        <v>19</v>
      </c>
      <c r="K32" s="24">
        <f>+($F$19/$F$15)*($F$13*10*$G$19/$F$11)^0.5</f>
        <v>1849.048855253497</v>
      </c>
      <c r="L32" s="24">
        <f>+(($F$19*$G$19+$F$20*$G$20)/IF($G$19+$G$20,$G$19+$G$20,1)/$F$15)*($F$13*10*SUM($G$19:$G$20)/$F$11)^0.5</f>
        <v>2614.9499685899414</v>
      </c>
      <c r="M32" s="24">
        <f>+(($F$19*$G$19+$F$20*$G$20+$F$21*$G$21)/IF($G$19+$G$20+$G$21,$G$19+$G$20+$G$21,1)/$F$15)*($F$13*10*SUM($G$19:$G$21)/$F$11)^0.5</f>
        <v>2614.9499685899414</v>
      </c>
      <c r="N32" s="24">
        <f>+(($F$19*$G$19+$F$20*$G$20+$F$21*$G$21+$F$22*$G$22)/IF(SUM($G$19:$G$22),SUM($G$19:$G$22),1)/$F$15)*($F$13*10*SUM($G$19:$G$22)/$F$11)^0.5</f>
        <v>2614.9499685899414</v>
      </c>
    </row>
    <row r="33" spans="1:14" ht="15.75">
      <c r="A33" s="1"/>
      <c r="B33" s="1"/>
      <c r="C33" s="1"/>
      <c r="D33" s="1"/>
      <c r="E33" s="1"/>
      <c r="G33" s="1"/>
      <c r="H33" s="1"/>
      <c r="I33" s="1"/>
      <c r="J33" s="23">
        <v>20</v>
      </c>
      <c r="K33" s="24"/>
      <c r="L33" s="24">
        <f>+($F$20/$F$15)*($F$13*10*$G$20/$F$11)^0.5</f>
        <v>1849.048855253497</v>
      </c>
      <c r="M33" s="24">
        <f>+(($F$20*$G$20+$F$21*$G$21)/IF($G$20+$G$21,$G$20+$G$21,1)/$F$15)*($F$13*10*SUM($G$20:$G$21)/$F$11)^0.5</f>
        <v>1849.048855253497</v>
      </c>
      <c r="N33" s="24">
        <f>+(($F$20*$G$20+$F$21*$G$21+$F$22*$G$22)/IF(SUM($G$20:$G$22),SUM($G$20:$G$22),1)/$F$15)*($F$13*10*SUM($G$20:$G$22)/$F$11)^0.5</f>
        <v>1849.048855253497</v>
      </c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23">
        <v>21</v>
      </c>
      <c r="K34" s="24">
        <f>+(($F$19*$G$19+$F$21*$G21)/IF($G$19+$G21,$G$19+$G21,1)/$F$15)*($F$13*10*SUM($G$19,$G21)/$F$11)^0.5</f>
        <v>1849.048855253497</v>
      </c>
      <c r="L34" s="24"/>
      <c r="M34" s="24">
        <f>+($F$21/$F$15)*(($F$13*10*$G$21)/$F$11)^0.5</f>
        <v>0</v>
      </c>
      <c r="N34" s="24">
        <f>+(($F$21*$G$21+$F$22*$G$22)/IF($G$21+$G$22,$G$21+$G$22,1)/$F$15)*($F$13*10*SUM($G$21:$G$22)/$F$11)^0.5</f>
        <v>0</v>
      </c>
    </row>
    <row r="35" spans="1:14" ht="15.75">
      <c r="A35" s="10" t="s">
        <v>20</v>
      </c>
      <c r="B35" s="10"/>
      <c r="C35" s="10"/>
      <c r="D35" s="10"/>
      <c r="E35" s="10"/>
      <c r="F35" s="49">
        <f>+IF(F36&lt;J37,F36,J37)</f>
        <v>248.20571040144063</v>
      </c>
      <c r="G35" s="1"/>
      <c r="H35" s="4" t="s">
        <v>80</v>
      </c>
      <c r="I35" s="1"/>
      <c r="J35" s="23">
        <v>22</v>
      </c>
      <c r="K35" s="24">
        <f>+(($F$19*$G$19+$F$22*$G$22)/IF($G$19+$G$22,$G$19+$G$22,1)/$F$15)*($F$13*10*SUM($G$19,$G$22)/$F$11)^0.5</f>
        <v>1849.048855253497</v>
      </c>
      <c r="L35" s="24">
        <f>+(($F$20*$G$20+$F$22*$G$22)/IF($G$20+$G$22,$G$20+$G$22,1)/$F$15)*($F$13*10*SUM($G$20,$G$22)/$F$11)^0.5</f>
        <v>1849.048855253497</v>
      </c>
      <c r="M35" s="24">
        <f>+(($F$19*$G$19+$F$21*$G$21+$F$22*$G$22)/IF($G$19+$G$21+$G$22,$G$19+$G$21+$G$22,1)/$F$15)*($F$13*10*SUM($G$19,$G$21:$G$22)/$F$11)^0.5</f>
        <v>1849.048855253497</v>
      </c>
      <c r="N35" s="24">
        <f>+($F$22/$F$15)*($F$13*10*$G$22/$F$11)^0.5</f>
        <v>0</v>
      </c>
    </row>
    <row r="36" spans="1:8" ht="15.75">
      <c r="A36" s="10" t="s">
        <v>36</v>
      </c>
      <c r="B36" s="12"/>
      <c r="C36" s="12"/>
      <c r="D36" s="12"/>
      <c r="E36" s="12"/>
      <c r="F36" s="49">
        <f>+F13*(F13*1500+(1-F13)*1000)</f>
        <v>411.25</v>
      </c>
      <c r="H36" s="4" t="s">
        <v>76</v>
      </c>
    </row>
    <row r="37" spans="1:10" ht="15.75">
      <c r="A37" s="11">
        <f>+IF(F35=F36,"Estimated DM Density controlled by Maximum Achievable Density","")</f>
      </c>
      <c r="B37" s="1"/>
      <c r="C37" s="1"/>
      <c r="D37" s="1"/>
      <c r="E37" s="1"/>
      <c r="F37" s="1"/>
      <c r="J37" s="13">
        <f>(+F28*0.042+136.3)*(0.818+0.0446*F24)</f>
        <v>248.20571040144063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7109375" style="28" bestFit="1" customWidth="1"/>
    <col min="2" max="2" width="98.8515625" style="28" customWidth="1"/>
    <col min="3" max="3" width="10.57421875" style="30" customWidth="1"/>
    <col min="4" max="4" width="13.140625" style="28" customWidth="1"/>
    <col min="5" max="6" width="10.7109375" style="28" customWidth="1"/>
    <col min="7" max="8" width="9.8515625" style="28" bestFit="1" customWidth="1"/>
    <col min="9" max="9" width="10.7109375" style="28" customWidth="1"/>
    <col min="10" max="10" width="12.57421875" style="56" customWidth="1"/>
    <col min="11" max="16384" width="9.140625" style="28" customWidth="1"/>
  </cols>
  <sheetData>
    <row r="1" spans="1:8" ht="18.75">
      <c r="A1" s="125" t="s">
        <v>63</v>
      </c>
      <c r="B1" s="125"/>
      <c r="C1" s="125"/>
      <c r="D1" s="125"/>
      <c r="E1" s="125"/>
      <c r="F1" s="125"/>
      <c r="G1" s="125"/>
      <c r="H1" s="125"/>
    </row>
    <row r="2" spans="1:8" ht="19.5">
      <c r="A2" s="126" t="s">
        <v>64</v>
      </c>
      <c r="B2" s="127"/>
      <c r="C2" s="127"/>
      <c r="D2" s="127"/>
      <c r="E2" s="127"/>
      <c r="F2" s="127"/>
      <c r="G2" s="127"/>
      <c r="H2" s="127"/>
    </row>
    <row r="3" spans="1:8" ht="19.5">
      <c r="A3" s="126" t="s">
        <v>67</v>
      </c>
      <c r="B3" s="127"/>
      <c r="C3" s="127"/>
      <c r="D3" s="127"/>
      <c r="E3" s="127"/>
      <c r="F3" s="127"/>
      <c r="G3" s="127"/>
      <c r="H3" s="127"/>
    </row>
    <row r="4" spans="1:8" ht="18">
      <c r="A4" s="127" t="s">
        <v>92</v>
      </c>
      <c r="B4" s="127"/>
      <c r="C4" s="127"/>
      <c r="D4" s="127"/>
      <c r="E4" s="127"/>
      <c r="F4" s="127"/>
      <c r="G4" s="127"/>
      <c r="H4" s="127"/>
    </row>
    <row r="5" spans="2:5" ht="15.75" thickBot="1">
      <c r="B5" s="29"/>
      <c r="E5" s="31"/>
    </row>
    <row r="6" spans="2:5" ht="15.75" thickBot="1">
      <c r="B6" s="29"/>
      <c r="C6" s="123" t="s">
        <v>43</v>
      </c>
      <c r="D6" s="124"/>
      <c r="E6" s="31"/>
    </row>
    <row r="7" spans="1:4" ht="16.5" thickBot="1">
      <c r="A7" s="100" t="s">
        <v>44</v>
      </c>
      <c r="B7" s="6" t="s">
        <v>45</v>
      </c>
      <c r="C7" s="83">
        <v>0</v>
      </c>
      <c r="D7" s="28" t="s">
        <v>46</v>
      </c>
    </row>
    <row r="8" spans="2:3" ht="15.75">
      <c r="B8" s="6" t="s">
        <v>47</v>
      </c>
      <c r="C8" s="84">
        <v>3</v>
      </c>
    </row>
    <row r="9" spans="2:7" ht="15.75">
      <c r="B9" s="6" t="s">
        <v>48</v>
      </c>
      <c r="C9" s="85">
        <v>28</v>
      </c>
      <c r="D9" s="31" t="s">
        <v>49</v>
      </c>
      <c r="G9" s="41"/>
    </row>
    <row r="10" spans="2:7" ht="15.75">
      <c r="B10" s="6" t="s">
        <v>50</v>
      </c>
      <c r="C10" s="86">
        <v>0.34</v>
      </c>
      <c r="D10" s="31" t="s">
        <v>51</v>
      </c>
      <c r="G10" s="52" t="str">
        <f>IF(C10&gt;1,"C9 debe ser menor a 1"," ")</f>
        <v> </v>
      </c>
    </row>
    <row r="11" spans="2:10" ht="21" thickBot="1">
      <c r="B11" s="6" t="s">
        <v>52</v>
      </c>
      <c r="C11" s="87">
        <v>12</v>
      </c>
      <c r="D11" s="31" t="s">
        <v>53</v>
      </c>
      <c r="G11" s="60" t="str">
        <f>IF(C11&gt;60,"Considere una capa mas delgada"," ")</f>
        <v> </v>
      </c>
      <c r="H11" s="58">
        <f>+C8</f>
        <v>3</v>
      </c>
      <c r="I11" s="56"/>
      <c r="J11" s="59">
        <f>+C7</f>
        <v>0</v>
      </c>
    </row>
    <row r="12" spans="1:7" ht="30.75" thickBot="1">
      <c r="A12" s="100" t="s">
        <v>54</v>
      </c>
      <c r="B12" s="6" t="s">
        <v>91</v>
      </c>
      <c r="C12" s="88" t="s">
        <v>55</v>
      </c>
      <c r="D12" s="32" t="s">
        <v>56</v>
      </c>
      <c r="G12" s="41"/>
    </row>
    <row r="13" spans="2:7" ht="18">
      <c r="B13" s="6" t="s">
        <v>2</v>
      </c>
      <c r="C13" s="89">
        <v>6810</v>
      </c>
      <c r="D13" s="97">
        <v>100</v>
      </c>
      <c r="E13" s="33">
        <f>IF(C13&gt;0,D13,0)</f>
        <v>100</v>
      </c>
      <c r="G13" s="53" t="str">
        <f>IF(AND(C13&gt;0,D13&lt;1),"Error en celda C13 ó D13",IF(AND(C13&lt;1,D13&gt;0),"Error en celda C13 ó D13"," "))</f>
        <v> </v>
      </c>
    </row>
    <row r="14" spans="2:8" ht="18">
      <c r="B14" s="6" t="s">
        <v>3</v>
      </c>
      <c r="C14" s="90">
        <v>8810</v>
      </c>
      <c r="D14" s="98">
        <v>100</v>
      </c>
      <c r="E14" s="33">
        <f>IF(C14&gt;0,D14,0)</f>
        <v>100</v>
      </c>
      <c r="G14" s="53" t="str">
        <f>IF(AND(C14&gt;0,D14&lt;1),"Error en celda C14 ó D14",IF(AND(C14&lt;1,D14&gt;0),"Error en celda C14 ó D14"," "))</f>
        <v> </v>
      </c>
      <c r="H14" s="34"/>
    </row>
    <row r="15" spans="2:8" ht="18">
      <c r="B15" s="6" t="s">
        <v>4</v>
      </c>
      <c r="C15" s="90">
        <v>0</v>
      </c>
      <c r="D15" s="98">
        <v>0</v>
      </c>
      <c r="E15" s="33">
        <f>IF(C15&gt;0,D15,0)</f>
        <v>0</v>
      </c>
      <c r="G15" s="53" t="str">
        <f>IF(AND(C15&gt;0,D15&lt;1),"Error en celda C15 ó D15",IF(AND(C15&lt;1,D15&gt;0),"Error en celda C15 ó D15"," "))</f>
        <v> </v>
      </c>
      <c r="H15" s="34"/>
    </row>
    <row r="16" spans="2:8" ht="18.75" thickBot="1">
      <c r="B16" s="6" t="s">
        <v>5</v>
      </c>
      <c r="C16" s="91">
        <v>0</v>
      </c>
      <c r="D16" s="99">
        <v>0</v>
      </c>
      <c r="E16" s="33">
        <f>IF(C16&gt;0,D16,0)</f>
        <v>0</v>
      </c>
      <c r="G16" s="53" t="str">
        <f>IF(AND(C16&gt;0,D16&lt;1),"Error en celda C16 ó D16",IF(AND(C16&lt;1,D16&gt;0),"Error en celda C16 ó D16"," "))</f>
        <v> </v>
      </c>
      <c r="H16" s="34"/>
    </row>
    <row r="17" spans="2:10" s="35" customFormat="1" ht="17.25" thickBot="1">
      <c r="B17" s="82"/>
      <c r="C17" s="92"/>
      <c r="D17" s="36"/>
      <c r="E17" s="37"/>
      <c r="F17" s="38"/>
      <c r="H17" s="39"/>
      <c r="J17" s="57"/>
    </row>
    <row r="18" spans="1:8" ht="16.5">
      <c r="A18" s="40" t="s">
        <v>57</v>
      </c>
      <c r="B18" s="6" t="s">
        <v>58</v>
      </c>
      <c r="C18" s="93">
        <f>+C13*D13/100+C14*D14/100+C15*D15/100+C16*D16/100</f>
        <v>15620</v>
      </c>
      <c r="D18" s="31"/>
      <c r="E18" s="31"/>
      <c r="F18" s="41"/>
      <c r="G18" s="41"/>
      <c r="H18" s="34"/>
    </row>
    <row r="19" spans="1:8" ht="17.25" thickBot="1">
      <c r="A19" s="42" t="s">
        <v>59</v>
      </c>
      <c r="B19" s="6" t="s">
        <v>60</v>
      </c>
      <c r="C19" s="94">
        <f>+(+C7+C8)/2</f>
        <v>1.5</v>
      </c>
      <c r="E19" s="31"/>
      <c r="F19" s="41"/>
      <c r="G19" s="41"/>
      <c r="H19" s="34"/>
    </row>
    <row r="20" spans="2:4" ht="17.25" thickBot="1">
      <c r="B20" s="43"/>
      <c r="C20" s="95"/>
      <c r="D20" s="31"/>
    </row>
    <row r="21" spans="1:3" ht="17.25" thickBot="1">
      <c r="A21" s="45" t="s">
        <v>61</v>
      </c>
      <c r="B21" s="82" t="s">
        <v>62</v>
      </c>
      <c r="C21" s="96">
        <f>+MAX(K26:N29)</f>
        <v>3207.3416834823156</v>
      </c>
    </row>
    <row r="22" spans="2:9" ht="19.5">
      <c r="B22" s="78" t="s">
        <v>93</v>
      </c>
      <c r="C22" s="49">
        <f>C30/C10</f>
        <v>705.3390868822559</v>
      </c>
      <c r="D22" s="80" t="s">
        <v>87</v>
      </c>
      <c r="E22" s="80"/>
      <c r="F22" s="80"/>
      <c r="G22" s="80"/>
      <c r="H22" s="80"/>
      <c r="I22" s="80"/>
    </row>
    <row r="23" spans="2:9" ht="16.5">
      <c r="B23" s="78" t="s">
        <v>94</v>
      </c>
      <c r="C23" s="49">
        <f>C10*1499.47+(1-C10)*999.65</f>
        <v>1169.5888</v>
      </c>
      <c r="D23" s="80" t="s">
        <v>88</v>
      </c>
      <c r="E23" s="80"/>
      <c r="F23" s="80"/>
      <c r="G23" s="80"/>
      <c r="H23" s="80"/>
      <c r="I23" s="80"/>
    </row>
    <row r="24" spans="2:8" ht="15">
      <c r="B24" s="1"/>
      <c r="C24" s="1"/>
      <c r="D24" s="1"/>
      <c r="E24" s="1"/>
      <c r="F24" s="1"/>
      <c r="G24" s="1"/>
      <c r="H24" s="1"/>
    </row>
    <row r="25" spans="1:8" ht="16.5">
      <c r="A25"/>
      <c r="B25" s="78" t="s">
        <v>95</v>
      </c>
      <c r="C25" s="67">
        <f>1-(C22/C23)</f>
        <v>0.3969341302838606</v>
      </c>
      <c r="D25" s="81" t="s">
        <v>86</v>
      </c>
      <c r="E25" s="76"/>
      <c r="F25" s="77"/>
      <c r="G25" s="77"/>
      <c r="H25" s="1"/>
    </row>
    <row r="26" spans="1:15" ht="15">
      <c r="A26"/>
      <c r="B26"/>
      <c r="C26" s="44"/>
      <c r="J26" s="51">
        <v>19</v>
      </c>
      <c r="K26" s="51">
        <f>+($C$13/$C$11)*($C$10*10*$E$13/$C$9)^0.5</f>
        <v>1977.5446987904688</v>
      </c>
      <c r="L26" s="51">
        <f>+(($C$13*$E$13+$C$14*$E$14)/IF($E$13+$E$14,$E$13+$E$14,1)/$C$11)*($C$10*10*SUM($E$13:$E$14)/$C$9)^0.5</f>
        <v>3207.3416834823156</v>
      </c>
      <c r="M26" s="51">
        <f>+(($C$13*$E$13+$C$14*$E$14+$C$15*$E$15)/IF($E$13+$E$14+$E$15,$E$13+$E$14+$E$15,1)/$C$11)*($C$10*10*SUM($E$13:$E$15)/$C$9)^0.5</f>
        <v>3207.3416834823156</v>
      </c>
      <c r="N26" s="51">
        <f>+(($C$13*$E$13+$C$14*$E$14+$C$15*$E$15+$C$16*$E$16)/IF(SUM($E$13:$E$16),SUM($E$13:$E$16),1)/$C$11)*($C$10*10*SUM($E$13:$E$16)/$C$9)^0.5</f>
        <v>3207.3416834823156</v>
      </c>
      <c r="O26" s="41"/>
    </row>
    <row r="27" spans="1:15" ht="15">
      <c r="A27"/>
      <c r="B27"/>
      <c r="C27" s="44"/>
      <c r="J27" s="51">
        <v>20</v>
      </c>
      <c r="K27" s="51"/>
      <c r="L27" s="51">
        <f>+($C$14/$C$11)*($C$10*10*$E$14/$C$9)^0.5</f>
        <v>2558.3214091547766</v>
      </c>
      <c r="M27" s="51">
        <f>+(($C$14*$E$14+$C$15*$E$15)/IF($E$14+$E$15,$E$14+$E$15,1)/$C$11)*($C$10*10*SUM($E$14:$E$15)/$C$9)^0.5</f>
        <v>2558.3214091547766</v>
      </c>
      <c r="N27" s="51">
        <f>+(($C$14*$E$14+$C$15*$E$15+$C$16*$E$16)/IF(SUM($E$14:$E$16),SUM($E$14:$E$16),1)/$C$11)*($C$10*10*SUM($E$14:$E$16)/$C$9)^0.5</f>
        <v>2558.3214091547766</v>
      </c>
      <c r="O27" s="41"/>
    </row>
    <row r="28" spans="3:15" ht="15">
      <c r="C28" s="48"/>
      <c r="J28" s="51">
        <v>21</v>
      </c>
      <c r="K28" s="51">
        <f>+(($C$13*$E$13+$C$15*$E15)/IF($E$13+$E15,$E$13+$E15,1)/$C$11)*($C$10*10*SUM($E$13,$E15)/$C$9)^0.5</f>
        <v>1977.5446987904688</v>
      </c>
      <c r="L28" s="51"/>
      <c r="M28" s="51">
        <f>+($C$15/$C$11)*(($C$10*10*$E$15)/$C$9)^0.5</f>
        <v>0</v>
      </c>
      <c r="N28" s="51">
        <f>+(($C$15*$E$15+$C$16*$E$16)/IF($E$15+$E$16,$E$15+$E$16,1)/$C$11)*($C$10*10*SUM($E$15:$E$16)/$C$9)^0.5</f>
        <v>0</v>
      </c>
      <c r="O28" s="41"/>
    </row>
    <row r="29" spans="10:15" ht="15">
      <c r="J29" s="51">
        <v>22</v>
      </c>
      <c r="K29" s="51">
        <f>+(($C$13*$E$13+$C$16*$E$16)/IF($E$13+$E$16,$E$13+$E$16,1)/$C$11)*($C$10*10*SUM($E$13,$E$16)/$C$9)^0.5</f>
        <v>1977.5446987904688</v>
      </c>
      <c r="L29" s="51">
        <f>+(($C$14*$E$14+$C$16*$E$16)/IF($E$14+$E$16,$E$14+$E$16,1)/$C$11)*($C$10*10*SUM($E$14,$E$16)/$C$9)^0.5</f>
        <v>2558.3214091547766</v>
      </c>
      <c r="M29" s="51">
        <f>+(($C$13*$E$13+$C$15*$E$15+$C$16*$E$16)/IF($E$13+$E$15+$E$16,$E$13+$E$15+$E$16,1)/$C$11)*($C$10*10*SUM($E$13,$E$15:$E$16)/$C$9)^0.5</f>
        <v>1977.5446987904688</v>
      </c>
      <c r="N29" s="51">
        <f>+($C$16/$C$11)*($C$10*10*$E$16/$C$9)^0.5</f>
        <v>0</v>
      </c>
      <c r="O29" s="41"/>
    </row>
    <row r="30" spans="2:9" ht="20.25">
      <c r="B30" s="79" t="s">
        <v>89</v>
      </c>
      <c r="C30" s="102">
        <f>+IF(C31&lt;J37,C31,J37)</f>
        <v>239.815289539967</v>
      </c>
      <c r="D30" s="46" t="s">
        <v>84</v>
      </c>
      <c r="E30" s="41"/>
      <c r="F30" s="41"/>
      <c r="G30" s="41"/>
      <c r="H30" s="41"/>
      <c r="I30" s="41"/>
    </row>
    <row r="31" spans="2:4" ht="19.5">
      <c r="B31" s="79" t="s">
        <v>90</v>
      </c>
      <c r="C31" s="101">
        <f>C10*(C10*1500+(1-C10)*1000)</f>
        <v>397.8</v>
      </c>
      <c r="D31" s="46" t="s">
        <v>85</v>
      </c>
    </row>
    <row r="37" ht="15">
      <c r="J37" s="47">
        <f>(C21*0.042+136.3)*(0.818+0.0446*C19)</f>
        <v>239.815289539967</v>
      </c>
    </row>
  </sheetData>
  <sheetProtection sheet="1" objects="1" scenarios="1"/>
  <mergeCells count="5">
    <mergeCell ref="C6:D6"/>
    <mergeCell ref="A1:H1"/>
    <mergeCell ref="A2:H2"/>
    <mergeCell ref="A3:H3"/>
    <mergeCell ref="A4:H4"/>
  </mergeCells>
  <printOptions/>
  <pageMargins left="0.75" right="0.75" top="1" bottom="1" header="0.5" footer="0.5"/>
  <pageSetup horizontalDpi="204" verticalDpi="204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5" max="5" width="37.00390625" style="0" customWidth="1"/>
    <col min="8" max="8" width="60.140625" style="0" customWidth="1"/>
    <col min="9" max="9" width="22.281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5" t="s">
        <v>127</v>
      </c>
      <c r="I1" s="1"/>
    </row>
    <row r="2" spans="1:9" ht="15.75">
      <c r="A2" s="1"/>
      <c r="B2" s="1"/>
      <c r="C2" s="1"/>
      <c r="D2" s="1"/>
      <c r="E2" s="1"/>
      <c r="F2" s="1"/>
      <c r="G2" s="1"/>
      <c r="H2" s="5" t="s">
        <v>128</v>
      </c>
      <c r="I2" s="1"/>
    </row>
    <row r="3" spans="1:9" ht="12.75">
      <c r="A3" s="1"/>
      <c r="B3" s="1"/>
      <c r="C3" s="1"/>
      <c r="D3" s="1"/>
      <c r="E3" s="1"/>
      <c r="F3" s="1"/>
      <c r="G3" s="1"/>
      <c r="H3" s="2" t="s">
        <v>129</v>
      </c>
      <c r="I3" s="1"/>
    </row>
    <row r="4" spans="1:9" ht="12.75">
      <c r="A4" s="1"/>
      <c r="B4" s="1"/>
      <c r="C4" s="1"/>
      <c r="D4" s="1"/>
      <c r="E4" s="1"/>
      <c r="F4" s="1"/>
      <c r="G4" s="1"/>
      <c r="H4" s="2" t="s">
        <v>130</v>
      </c>
      <c r="I4" s="1"/>
    </row>
    <row r="5" spans="1:9" ht="12.75">
      <c r="A5" s="1"/>
      <c r="B5" s="1"/>
      <c r="C5" s="1"/>
      <c r="D5" s="1"/>
      <c r="E5" s="1"/>
      <c r="F5" s="1"/>
      <c r="G5" s="1"/>
      <c r="H5" s="2" t="s">
        <v>131</v>
      </c>
      <c r="I5" s="1"/>
    </row>
    <row r="6" spans="1:9" ht="12.75">
      <c r="A6" s="1"/>
      <c r="B6" s="1"/>
      <c r="C6" s="1"/>
      <c r="D6" s="1"/>
      <c r="E6" s="1"/>
      <c r="F6" s="1"/>
      <c r="G6" s="1"/>
      <c r="H6" s="2" t="s">
        <v>132</v>
      </c>
      <c r="I6" s="1"/>
    </row>
    <row r="7" spans="1:9" ht="15.75">
      <c r="A7" s="6" t="s">
        <v>133</v>
      </c>
      <c r="B7" s="6"/>
      <c r="C7" s="6"/>
      <c r="D7" s="6"/>
      <c r="E7" s="6"/>
      <c r="F7" s="63">
        <v>3.66</v>
      </c>
      <c r="G7" s="1"/>
      <c r="H7" s="3">
        <v>39317</v>
      </c>
      <c r="I7" s="1"/>
    </row>
    <row r="8" spans="1:9" ht="15.75">
      <c r="A8" s="6"/>
      <c r="B8" s="6"/>
      <c r="C8" s="6"/>
      <c r="D8" s="6"/>
      <c r="E8" s="6"/>
      <c r="F8" s="6"/>
      <c r="G8" s="1"/>
      <c r="H8" s="1"/>
      <c r="I8" s="1"/>
    </row>
    <row r="9" spans="1:9" ht="15.75">
      <c r="A9" s="6" t="s">
        <v>134</v>
      </c>
      <c r="B9" s="6"/>
      <c r="C9" s="6"/>
      <c r="D9" s="6"/>
      <c r="E9" s="6"/>
      <c r="F9" s="63">
        <v>4.88</v>
      </c>
      <c r="G9" s="1"/>
      <c r="H9" s="118" t="s">
        <v>135</v>
      </c>
      <c r="I9" s="1"/>
    </row>
    <row r="10" spans="1:9" ht="15.75">
      <c r="A10" s="6"/>
      <c r="B10" s="6"/>
      <c r="C10" s="6"/>
      <c r="D10" s="6"/>
      <c r="E10" s="6"/>
      <c r="F10" s="6"/>
      <c r="G10" s="1"/>
      <c r="H10" s="1"/>
      <c r="I10" s="1"/>
    </row>
    <row r="11" spans="1:9" ht="15.75">
      <c r="A11" s="6" t="s">
        <v>136</v>
      </c>
      <c r="B11" s="6"/>
      <c r="C11" s="6"/>
      <c r="D11" s="6"/>
      <c r="E11" s="6"/>
      <c r="F11" s="63">
        <v>145.1</v>
      </c>
      <c r="G11" s="1"/>
      <c r="H11" s="118" t="s">
        <v>137</v>
      </c>
      <c r="I11" s="1"/>
    </row>
    <row r="12" spans="1:10" ht="20.25">
      <c r="A12" s="6"/>
      <c r="B12" s="6"/>
      <c r="C12" s="6"/>
      <c r="D12" s="6"/>
      <c r="E12" s="6"/>
      <c r="F12" s="6"/>
      <c r="G12" s="1"/>
      <c r="H12" s="1"/>
      <c r="I12" s="1"/>
      <c r="J12" s="55">
        <f>+F9</f>
        <v>4.88</v>
      </c>
    </row>
    <row r="13" spans="1:9" ht="15.75">
      <c r="A13" s="6" t="s">
        <v>138</v>
      </c>
      <c r="B13" s="6"/>
      <c r="C13" s="6"/>
      <c r="D13" s="6"/>
      <c r="E13" s="6"/>
      <c r="F13" s="63">
        <v>0.35</v>
      </c>
      <c r="G13" s="1"/>
      <c r="H13" s="14" t="s">
        <v>139</v>
      </c>
      <c r="I13" s="1"/>
    </row>
    <row r="14" spans="2:11" ht="20.25">
      <c r="B14" s="6"/>
      <c r="C14" s="6"/>
      <c r="D14" s="6"/>
      <c r="E14" s="6"/>
      <c r="F14" s="15" t="str">
        <f>+IF(F13&gt;1,"F13 must be less than 1"," ")</f>
        <v> </v>
      </c>
      <c r="G14" s="1"/>
      <c r="H14" s="1"/>
      <c r="I14" s="1"/>
      <c r="K14" s="55">
        <f>+F7</f>
        <v>3.66</v>
      </c>
    </row>
    <row r="15" spans="1:9" ht="15.75">
      <c r="A15" s="6" t="s">
        <v>140</v>
      </c>
      <c r="B15" s="6"/>
      <c r="C15" s="6"/>
      <c r="D15" s="6"/>
      <c r="E15" s="6"/>
      <c r="F15" s="63">
        <v>15.24</v>
      </c>
      <c r="G15" s="1"/>
      <c r="H15" s="118" t="s">
        <v>141</v>
      </c>
      <c r="I15" s="1"/>
    </row>
    <row r="16" spans="1:9" ht="15.75">
      <c r="A16" s="6"/>
      <c r="B16" s="6"/>
      <c r="C16" s="6"/>
      <c r="D16" s="6"/>
      <c r="E16" s="6"/>
      <c r="F16" s="15" t="str">
        <f>+IF(F15&gt;60,"Consider a thinner layer in cell F15"," ")</f>
        <v> </v>
      </c>
      <c r="G16" s="1"/>
      <c r="H16" s="1"/>
      <c r="I16" s="1"/>
    </row>
    <row r="17" spans="1:9" ht="15.75">
      <c r="A17" s="6" t="s">
        <v>142</v>
      </c>
      <c r="B17" s="6"/>
      <c r="C17" s="6"/>
      <c r="D17" s="6"/>
      <c r="E17" s="6" t="s">
        <v>143</v>
      </c>
      <c r="F17" s="6"/>
      <c r="G17" s="1"/>
      <c r="H17" s="6" t="s">
        <v>144</v>
      </c>
      <c r="I17" s="1"/>
    </row>
    <row r="18" spans="1:12" ht="15.75">
      <c r="A18" s="7" t="s">
        <v>165</v>
      </c>
      <c r="B18" s="6"/>
      <c r="C18" s="6"/>
      <c r="D18" s="6"/>
      <c r="E18" s="6"/>
      <c r="F18" s="6"/>
      <c r="G18" s="1"/>
      <c r="H18" s="6"/>
      <c r="I18" s="19"/>
      <c r="K18" s="20"/>
      <c r="L18" s="20"/>
    </row>
    <row r="19" spans="1:12" ht="15.75">
      <c r="A19" s="6" t="s">
        <v>145</v>
      </c>
      <c r="B19" s="6"/>
      <c r="C19" s="16" t="s">
        <v>146</v>
      </c>
      <c r="D19" s="6"/>
      <c r="E19" s="6"/>
      <c r="F19" s="64">
        <v>18144</v>
      </c>
      <c r="G19" s="21">
        <f>IF(F19&gt;0,H19,0)</f>
        <v>100</v>
      </c>
      <c r="H19" s="66">
        <v>100</v>
      </c>
      <c r="I19" s="50" t="str">
        <f>IF(AND(F19&gt;0,H19&lt;1),"Error in Cell F19 or H19",IF(AND(F19&lt;1,H19&gt;0),"Error in Cell F19 or H19"," "))</f>
        <v> </v>
      </c>
      <c r="J19" s="18"/>
      <c r="K19" s="18"/>
      <c r="L19" s="18"/>
    </row>
    <row r="20" spans="1:13" ht="15.75">
      <c r="A20" s="6" t="s">
        <v>147</v>
      </c>
      <c r="B20" s="6"/>
      <c r="C20" s="16" t="s">
        <v>146</v>
      </c>
      <c r="D20" s="6"/>
      <c r="E20" s="6"/>
      <c r="F20" s="63">
        <v>18144</v>
      </c>
      <c r="G20" s="21">
        <f>IF(F20&gt;0,H20,0)</f>
        <v>100</v>
      </c>
      <c r="H20" s="66">
        <v>100</v>
      </c>
      <c r="I20" s="50" t="str">
        <f>IF(AND(F20&gt;0,H20&lt;1),"Error in Cell F20 or H20",IF(AND(F20&lt;1,H20&gt;0),"Error in Cell F20 or H20"," "))</f>
        <v> </v>
      </c>
      <c r="J20" s="18"/>
      <c r="K20" s="18"/>
      <c r="L20" s="18"/>
      <c r="M20" s="20"/>
    </row>
    <row r="21" spans="1:13" ht="15.75">
      <c r="A21" s="6" t="s">
        <v>148</v>
      </c>
      <c r="B21" s="6"/>
      <c r="C21" s="16" t="s">
        <v>146</v>
      </c>
      <c r="D21" s="6"/>
      <c r="E21" s="6"/>
      <c r="F21" s="65">
        <v>0</v>
      </c>
      <c r="G21" s="21">
        <f>IF(F21&gt;0,H21,0)</f>
        <v>0</v>
      </c>
      <c r="H21" s="66">
        <v>0</v>
      </c>
      <c r="I21" s="50" t="str">
        <f>IF(AND(F21&gt;0,H21&lt;1),"Error in Cell F21 or H21",IF(AND(F21&lt;1,H21&gt;0),"Error in Cell F21 or H21"," "))</f>
        <v> </v>
      </c>
      <c r="J21" s="18"/>
      <c r="K21" s="18"/>
      <c r="L21" s="18"/>
      <c r="M21" s="20"/>
    </row>
    <row r="22" spans="1:13" ht="15.75">
      <c r="A22" s="6" t="s">
        <v>149</v>
      </c>
      <c r="B22" s="6"/>
      <c r="C22" s="16" t="s">
        <v>146</v>
      </c>
      <c r="D22" s="6"/>
      <c r="E22" s="6"/>
      <c r="F22" s="63">
        <v>0</v>
      </c>
      <c r="G22" s="21">
        <f>IF(F22&gt;0,H22,0)</f>
        <v>0</v>
      </c>
      <c r="H22" s="66">
        <v>0</v>
      </c>
      <c r="I22" s="50" t="str">
        <f>IF(AND(F22&gt;0,H22&lt;1),"Error in Cell F22 or H22",IF(AND(F22&lt;1,H22&gt;0),"Error in Cell F22 or H22"," "))</f>
        <v> </v>
      </c>
      <c r="J22" s="18"/>
      <c r="K22" s="18"/>
      <c r="L22" s="26"/>
      <c r="M22" s="20"/>
    </row>
    <row r="23" spans="1:13" ht="15.75">
      <c r="A23" s="6" t="s">
        <v>150</v>
      </c>
      <c r="C23" s="6"/>
      <c r="D23" s="6"/>
      <c r="E23" s="6"/>
      <c r="F23" s="8">
        <f>+F19*H19/100+F20*H20/100+F21*H21/100+F22*H22/100</f>
        <v>36288</v>
      </c>
      <c r="G23" s="1"/>
      <c r="H23" s="1"/>
      <c r="I23" s="19"/>
      <c r="J23" s="26"/>
      <c r="K23" s="18"/>
      <c r="L23" s="26"/>
      <c r="M23" s="20"/>
    </row>
    <row r="24" spans="1:13" ht="15.75">
      <c r="A24" s="6" t="s">
        <v>151</v>
      </c>
      <c r="B24" s="6"/>
      <c r="C24" s="6"/>
      <c r="D24" s="6"/>
      <c r="E24" s="6"/>
      <c r="F24" s="9">
        <f>+(+F7+F9)/2</f>
        <v>4.27</v>
      </c>
      <c r="G24" s="1"/>
      <c r="H24" s="119" t="s">
        <v>152</v>
      </c>
      <c r="I24" s="1"/>
      <c r="J24" s="26"/>
      <c r="K24" s="18"/>
      <c r="L24" s="26"/>
      <c r="M24" s="20"/>
    </row>
    <row r="25" spans="1:12" ht="15.75">
      <c r="A25" s="6"/>
      <c r="B25" s="6"/>
      <c r="C25" s="6"/>
      <c r="D25" s="6"/>
      <c r="E25" s="6"/>
      <c r="F25" s="62"/>
      <c r="G25" s="1"/>
      <c r="I25" s="1"/>
      <c r="J25" s="26"/>
      <c r="K25" s="26"/>
      <c r="L25" s="26"/>
    </row>
    <row r="26" spans="7:9" ht="12.75">
      <c r="G26" s="1"/>
      <c r="H26" s="1"/>
      <c r="I26" s="1"/>
    </row>
    <row r="27" spans="1:9" ht="15.75">
      <c r="A27" s="7" t="s">
        <v>166</v>
      </c>
      <c r="B27" s="6"/>
      <c r="C27" s="6"/>
      <c r="D27" s="6"/>
      <c r="E27" s="6"/>
      <c r="F27" s="6"/>
      <c r="G27" s="1"/>
      <c r="H27" s="1"/>
      <c r="I27" s="1"/>
    </row>
    <row r="28" spans="1:14" ht="15.75">
      <c r="A28" s="6"/>
      <c r="B28" s="6"/>
      <c r="C28" s="6"/>
      <c r="D28" s="10" t="s">
        <v>153</v>
      </c>
      <c r="E28" s="10"/>
      <c r="F28" s="49">
        <f>+MAX(K32:N35)</f>
        <v>2614.9499685899414</v>
      </c>
      <c r="G28" s="1"/>
      <c r="H28" s="120" t="s">
        <v>154</v>
      </c>
      <c r="I28" s="1"/>
      <c r="K28" s="17"/>
      <c r="L28" s="26"/>
      <c r="M28" s="26"/>
      <c r="N28" s="26"/>
    </row>
    <row r="29" spans="1:12" ht="15.75">
      <c r="A29" s="10" t="s">
        <v>155</v>
      </c>
      <c r="B29" s="12"/>
      <c r="C29" s="12"/>
      <c r="D29" s="12"/>
      <c r="E29" s="12"/>
      <c r="F29" s="49">
        <f>F35/F13</f>
        <v>709.1591725755447</v>
      </c>
      <c r="G29" s="1"/>
      <c r="H29" s="121" t="s">
        <v>156</v>
      </c>
      <c r="I29" s="19"/>
      <c r="J29" s="26"/>
      <c r="K29" s="26"/>
      <c r="L29" s="26"/>
    </row>
    <row r="30" spans="1:12" ht="26.25" customHeight="1">
      <c r="A30" s="10" t="s">
        <v>157</v>
      </c>
      <c r="B30" s="12"/>
      <c r="C30" s="12"/>
      <c r="D30" s="12"/>
      <c r="E30" s="12"/>
      <c r="F30" s="49">
        <f>F13*1499.47+(1-F13)*999.65</f>
        <v>1174.587</v>
      </c>
      <c r="G30" s="1"/>
      <c r="H30" s="122" t="s">
        <v>158</v>
      </c>
      <c r="I30" s="27"/>
      <c r="J30" s="26"/>
      <c r="K30" s="26"/>
      <c r="L30" s="26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23"/>
      <c r="K31" s="23">
        <v>19</v>
      </c>
      <c r="L31" s="23">
        <v>20</v>
      </c>
      <c r="M31" s="23">
        <v>21</v>
      </c>
      <c r="N31" s="23">
        <v>22</v>
      </c>
    </row>
    <row r="32" spans="1:14" ht="15.75">
      <c r="A32" s="1"/>
      <c r="B32" s="19"/>
      <c r="C32" s="19"/>
      <c r="D32" s="19"/>
      <c r="E32" s="10" t="s">
        <v>159</v>
      </c>
      <c r="F32" s="67">
        <f>1-(F29/F30)</f>
        <v>0.39624806627730025</v>
      </c>
      <c r="G32" s="1"/>
      <c r="H32" s="121" t="s">
        <v>160</v>
      </c>
      <c r="I32" s="1"/>
      <c r="J32" s="23">
        <v>19</v>
      </c>
      <c r="K32" s="24">
        <f>+($F$19/$F$15)*($F$13*10*$G$19/$F$11)^0.5</f>
        <v>1849.048855253497</v>
      </c>
      <c r="L32" s="24">
        <f>+(($F$19*$G$19+$F$20*$G$20)/IF($G$19+$G$20,$G$19+$G$20,1)/$F$15)*($F$13*10*SUM($G$19:$G$20)/$F$11)^0.5</f>
        <v>2614.9499685899414</v>
      </c>
      <c r="M32" s="24">
        <f>+(($F$19*$G$19+$F$20*$G$20+$F$21*$G$21)/IF($G$19+$G$20+$G$21,$G$19+$G$20+$G$21,1)/$F$15)*($F$13*10*SUM($G$19:$G$21)/$F$11)^0.5</f>
        <v>2614.9499685899414</v>
      </c>
      <c r="N32" s="24">
        <f>+(($F$19*$G$19+$F$20*$G$20+$F$21*$G$21+$F$22*$G$22)/IF(SUM($G$19:$G$22),SUM($G$19:$G$22),1)/$F$15)*($F$13*10*SUM($G$19:$G$22)/$F$11)^0.5</f>
        <v>2614.9499685899414</v>
      </c>
    </row>
    <row r="33" spans="1:14" ht="15.75">
      <c r="A33" s="1"/>
      <c r="B33" s="1"/>
      <c r="C33" s="1"/>
      <c r="D33" s="1"/>
      <c r="E33" s="1"/>
      <c r="G33" s="1"/>
      <c r="H33" s="1"/>
      <c r="I33" s="1"/>
      <c r="J33" s="23">
        <v>20</v>
      </c>
      <c r="K33" s="24"/>
      <c r="L33" s="24">
        <f>+($F$20/$F$15)*($F$13*10*$G$20/$F$11)^0.5</f>
        <v>1849.048855253497</v>
      </c>
      <c r="M33" s="24">
        <f>+(($F$20*$G$20+$F$21*$G$21)/IF($G$20+$G$21,$G$20+$G$21,1)/$F$15)*($F$13*10*SUM($G$20:$G$21)/$F$11)^0.5</f>
        <v>1849.048855253497</v>
      </c>
      <c r="N33" s="24">
        <f>+(($F$20*$G$20+$F$21*$G$21+$F$22*$G$22)/IF(SUM($G$20:$G$22),SUM($G$20:$G$22),1)/$F$15)*($F$13*10*SUM($G$20:$G$22)/$F$11)^0.5</f>
        <v>1849.048855253497</v>
      </c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23">
        <v>21</v>
      </c>
      <c r="K34" s="24">
        <f>+(($F$19*$G$19+$F$21*$G21)/IF($G$19+$G21,$G$19+$G21,1)/$F$15)*($F$13*10*SUM($G$19,$G21)/$F$11)^0.5</f>
        <v>1849.048855253497</v>
      </c>
      <c r="L34" s="24"/>
      <c r="M34" s="24">
        <f>+($F$21/$F$15)*(($F$13*10*$G$21)/$F$11)^0.5</f>
        <v>0</v>
      </c>
      <c r="N34" s="24">
        <f>+(($F$21*$G$21+$F$22*$G$22)/IF($G$21+$G$22,$G$21+$G$22,1)/$F$15)*($F$13*10*SUM($G$21:$G$22)/$F$11)^0.5</f>
        <v>0</v>
      </c>
    </row>
    <row r="35" spans="1:14" ht="15.75">
      <c r="A35" s="10" t="s">
        <v>161</v>
      </c>
      <c r="B35" s="10"/>
      <c r="C35" s="10"/>
      <c r="D35" s="10"/>
      <c r="E35" s="10"/>
      <c r="F35" s="49">
        <f>+IF(F36&lt;J37,F36,J37)</f>
        <v>248.20571040144063</v>
      </c>
      <c r="G35" s="1"/>
      <c r="H35" s="121" t="s">
        <v>162</v>
      </c>
      <c r="I35" s="1"/>
      <c r="J35" s="23">
        <v>22</v>
      </c>
      <c r="K35" s="24">
        <f>+(($F$19*$G$19+$F$22*$G$22)/IF($G$19+$G$22,$G$19+$G$22,1)/$F$15)*($F$13*10*SUM($G$19,$G$22)/$F$11)^0.5</f>
        <v>1849.048855253497</v>
      </c>
      <c r="L35" s="24">
        <f>+(($F$20*$G$20+$F$22*$G$22)/IF($G$20+$G$22,$G$20+$G$22,1)/$F$15)*($F$13*10*SUM($G$20,$G$22)/$F$11)^0.5</f>
        <v>1849.048855253497</v>
      </c>
      <c r="M35" s="24">
        <f>+(($F$19*$G$19+$F$21*$G$21+$F$22*$G$22)/IF($G$19+$G$21+$G$22,$G$19+$G$21+$G$22,1)/$F$15)*($F$13*10*SUM($G$19,$G$21:$G$22)/$F$11)^0.5</f>
        <v>1849.048855253497</v>
      </c>
      <c r="N35" s="24">
        <f>+($F$22/$F$15)*($F$13*10*$G$22/$F$11)^0.5</f>
        <v>0</v>
      </c>
    </row>
    <row r="36" spans="1:8" ht="15.75">
      <c r="A36" s="10" t="s">
        <v>163</v>
      </c>
      <c r="B36" s="12"/>
      <c r="C36" s="12"/>
      <c r="D36" s="12"/>
      <c r="E36" s="12"/>
      <c r="F36" s="49">
        <f>+F13*(F13*1500+(1-F13)*1000)</f>
        <v>411.25</v>
      </c>
      <c r="H36" s="121" t="s">
        <v>164</v>
      </c>
    </row>
    <row r="37" spans="1:10" ht="15.75">
      <c r="A37" s="11">
        <f>+IF(F35=F36,"Estimated DM Density controlled by Maximum Achievable Density","")</f>
      </c>
      <c r="B37" s="1"/>
      <c r="C37" s="1"/>
      <c r="D37" s="1"/>
      <c r="E37" s="1"/>
      <c r="F37" s="1"/>
      <c r="J37" s="13">
        <f>(+F28*0.042+136.3)*(0.818+0.0446*F24)</f>
        <v>248.20571040144063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subject/>
  <dc:creator>Brian J. Holmes</dc:creator>
  <cp:keywords/>
  <dc:description/>
  <cp:lastModifiedBy>Ramirez-Ramirez, Hugo A [AN S]</cp:lastModifiedBy>
  <cp:lastPrinted>1999-06-29T14:56:49Z</cp:lastPrinted>
  <dcterms:created xsi:type="dcterms:W3CDTF">1999-04-02T15:53:20Z</dcterms:created>
  <dcterms:modified xsi:type="dcterms:W3CDTF">2019-07-25T23:10:37Z</dcterms:modified>
  <cp:category/>
  <cp:version/>
  <cp:contentType/>
  <cp:contentStatus/>
</cp:coreProperties>
</file>